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846" windowWidth="10806" windowHeight="4871" activeTab="0"/>
  </bookViews>
  <sheets>
    <sheet name="2024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  <sheet name="2005" sheetId="20" r:id="rId20"/>
    <sheet name="2004" sheetId="21" r:id="rId21"/>
    <sheet name="2003" sheetId="22" r:id="rId22"/>
    <sheet name="2002" sheetId="23" r:id="rId23"/>
    <sheet name="2001" sheetId="24" r:id="rId24"/>
    <sheet name="2000" sheetId="25" r:id="rId25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Bг6" localSheetId="11">'[1]Обменные пункты'!#REF!</definedName>
    <definedName name="Bг6" localSheetId="10">'[1]Обменные пункты'!#REF!</definedName>
    <definedName name="Bг6" localSheetId="7">'[1]Обменные пункты'!#REF!</definedName>
    <definedName name="Bг6" localSheetId="6">'[1]Обменные пункты'!#REF!</definedName>
    <definedName name="Bг6" localSheetId="5">'[1]Обменные пункты'!#REF!</definedName>
    <definedName name="Bг6" localSheetId="4">'[1]Обменные пункты'!#REF!</definedName>
    <definedName name="Bг6" localSheetId="3">'[1]Обменные пункты'!#REF!</definedName>
    <definedName name="Bг6" localSheetId="2">'[1]Обменные пункты'!#REF!</definedName>
    <definedName name="Bг6" localSheetId="1">'[4]Обменные пункты'!#REF!</definedName>
    <definedName name="Bг6" localSheetId="0">'[4]Обменные пункты'!#REF!</definedName>
    <definedName name="Bг6">'[1]Обменные пункты'!#REF!</definedName>
    <definedName name="Bд7" localSheetId="11">'[1]Обменные пункты'!#REF!</definedName>
    <definedName name="Bд7" localSheetId="10">'[1]Обменные пункты'!#REF!</definedName>
    <definedName name="Bд7" localSheetId="7">'[1]Обменные пункты'!#REF!</definedName>
    <definedName name="Bд7" localSheetId="6">'[1]Обменные пункты'!#REF!</definedName>
    <definedName name="Bд7" localSheetId="5">'[1]Обменные пункты'!#REF!</definedName>
    <definedName name="Bд7" localSheetId="4">'[1]Обменные пункты'!#REF!</definedName>
    <definedName name="Bд7" localSheetId="3">'[1]Обменные пункты'!#REF!</definedName>
    <definedName name="Bд7" localSheetId="2">'[1]Обменные пункты'!#REF!</definedName>
    <definedName name="Bд7" localSheetId="1">'[4]Обменные пункты'!#REF!</definedName>
    <definedName name="Bд7" localSheetId="0">'[4]Обменные пункты'!#REF!</definedName>
    <definedName name="Bд7">'[1]Обменные пункты'!#REF!</definedName>
    <definedName name="Bр6" localSheetId="11">'[1]Обменные пункты'!#REF!</definedName>
    <definedName name="Bр6" localSheetId="10">'[1]Обменные пункты'!#REF!</definedName>
    <definedName name="Bр6" localSheetId="7">'[1]Обменные пункты'!#REF!</definedName>
    <definedName name="Bр6" localSheetId="6">'[1]Обменные пункты'!#REF!</definedName>
    <definedName name="Bр6" localSheetId="5">'[1]Обменные пункты'!#REF!</definedName>
    <definedName name="Bр6" localSheetId="4">'[1]Обменные пункты'!#REF!</definedName>
    <definedName name="Bр6" localSheetId="3">'[1]Обменные пункты'!#REF!</definedName>
    <definedName name="Bр6" localSheetId="2">'[1]Обменные пункты'!#REF!</definedName>
    <definedName name="Bр6" localSheetId="1">'[4]Обменные пункты'!#REF!</definedName>
    <definedName name="Bр6" localSheetId="0">'[4]Обменные пункты'!#REF!</definedName>
    <definedName name="Bр6">'[1]Обменные пункты'!#REF!</definedName>
    <definedName name="Bт10" localSheetId="11">'[1]Обменные пункты'!#REF!</definedName>
    <definedName name="Bт10" localSheetId="10">'[1]Обменные пункты'!#REF!</definedName>
    <definedName name="Bт10" localSheetId="7">'[1]Обменные пункты'!#REF!</definedName>
    <definedName name="Bт10" localSheetId="6">'[1]Обменные пункты'!#REF!</definedName>
    <definedName name="Bт10" localSheetId="5">'[1]Обменные пункты'!#REF!</definedName>
    <definedName name="Bт10" localSheetId="4">'[1]Обменные пункты'!#REF!</definedName>
    <definedName name="Bт10" localSheetId="3">'[1]Обменные пункты'!#REF!</definedName>
    <definedName name="Bт10" localSheetId="2">'[1]Обменные пункты'!#REF!</definedName>
    <definedName name="Bт10" localSheetId="1">'[4]Обменные пункты'!#REF!</definedName>
    <definedName name="Bт10" localSheetId="0">'[4]Обменные пункты'!#REF!</definedName>
    <definedName name="Bт10">'[1]Обменные пункты'!#REF!</definedName>
    <definedName name="Z_9E8AFC62_80CD_11D9_8925_00A02410353F_.wvu.Cols" localSheetId="24" hidden="1">'2000'!$B:$M</definedName>
    <definedName name="Z_9E8AFC62_80CD_11D9_8925_00A02410353F_.wvu.Cols" localSheetId="23" hidden="1">'2001'!$B:$M</definedName>
    <definedName name="Z_9E8AFC62_80CD_11D9_8925_00A02410353F_.wvu.Cols" localSheetId="22" hidden="1">'2002'!$B:$M</definedName>
    <definedName name="Z_9E8AFC62_80CD_11D9_8925_00A02410353F_.wvu.Cols" localSheetId="21" hidden="1">'2003'!$B:$M</definedName>
    <definedName name="Z_9E8AFC62_80CD_11D9_8925_00A02410353F_.wvu.Cols" localSheetId="20" hidden="1">'2004'!#REF!</definedName>
    <definedName name="Z_9E8AFC62_80CD_11D9_8925_00A02410353F_.wvu.Cols" localSheetId="19" hidden="1">'2005'!#REF!</definedName>
    <definedName name="Z_9E8AFC62_80CD_11D9_8925_00A02410353F_.wvu.Rows" localSheetId="24" hidden="1">'2000'!#REF!,'2000'!#REF!,'2000'!#REF!</definedName>
    <definedName name="Z_9E8AFC62_80CD_11D9_8925_00A02410353F_.wvu.Rows" localSheetId="23" hidden="1">'2001'!#REF!,'2001'!#REF!,'2001'!#REF!</definedName>
    <definedName name="Z_9E8AFC62_80CD_11D9_8925_00A02410353F_.wvu.Rows" localSheetId="22" hidden="1">'2002'!#REF!,'2002'!#REF!,'2002'!#REF!</definedName>
    <definedName name="Z_9E8AFC62_80CD_11D9_8925_00A02410353F_.wvu.Rows" localSheetId="21" hidden="1">'2003'!#REF!,'2003'!#REF!,'2003'!#REF!</definedName>
    <definedName name="Z_9E8AFC62_80CD_11D9_8925_00A02410353F_.wvu.Rows" localSheetId="20" hidden="1">'2004'!#REF!,'2004'!#REF!,'2004'!#REF!</definedName>
    <definedName name="Z_9E8AFC62_80CD_11D9_8925_00A02410353F_.wvu.Rows" localSheetId="19" hidden="1">'2005'!#REF!,'2005'!#REF!,'2005'!#REF!</definedName>
    <definedName name="Z_A15867E2_87A8_11D7_BECF_006008CA559F_.wvu.Rows" localSheetId="24" hidden="1">'2000'!#REF!,'2000'!#REF!,'2000'!#REF!</definedName>
    <definedName name="Z_A15867E2_87A8_11D7_BECF_006008CA559F_.wvu.Rows" localSheetId="23" hidden="1">'2001'!#REF!,'2001'!#REF!,'2001'!#REF!</definedName>
    <definedName name="Z_A15867E2_87A8_11D7_BECF_006008CA559F_.wvu.Rows" localSheetId="22" hidden="1">'2002'!#REF!,'2002'!#REF!,'2002'!#REF!</definedName>
    <definedName name="Z_A15867E2_87A8_11D7_BECF_006008CA559F_.wvu.Rows" localSheetId="21" hidden="1">'2003'!#REF!,'2003'!#REF!,'2003'!#REF!</definedName>
    <definedName name="Z_A15867E2_87A8_11D7_BECF_006008CA559F_.wvu.Rows" localSheetId="20" hidden="1">'2004'!#REF!,'2004'!#REF!,'2004'!#REF!</definedName>
    <definedName name="Z_A15867E2_87A8_11D7_BECF_006008CA559F_.wvu.Rows" localSheetId="19" hidden="1">'2005'!#REF!,'2005'!#REF!,'2005'!#REF!</definedName>
    <definedName name="а1" localSheetId="11">#REF!</definedName>
    <definedName name="а1" localSheetId="10">#REF!</definedName>
    <definedName name="а1" localSheetId="7">#REF!</definedName>
    <definedName name="а1" localSheetId="6">#REF!</definedName>
    <definedName name="а1" localSheetId="5">#REF!</definedName>
    <definedName name="а1" localSheetId="4">#REF!</definedName>
    <definedName name="а1" localSheetId="3">#REF!</definedName>
    <definedName name="а1" localSheetId="2">#REF!</definedName>
    <definedName name="а1" localSheetId="1">#REF!</definedName>
    <definedName name="а1" localSheetId="0">#REF!</definedName>
    <definedName name="а1">#REF!</definedName>
    <definedName name="в36" localSheetId="11">'[1]Содержание'!#REF!</definedName>
    <definedName name="в36" localSheetId="10">'[1]Содержание'!#REF!</definedName>
    <definedName name="в36" localSheetId="7">'[1]Содержание'!#REF!</definedName>
    <definedName name="в36" localSheetId="6">'[1]Содержание'!#REF!</definedName>
    <definedName name="в36" localSheetId="5">'[1]Содержание'!#REF!</definedName>
    <definedName name="в36" localSheetId="4">'[1]Содержание'!#REF!</definedName>
    <definedName name="в36" localSheetId="3">'[1]Содержание'!#REF!</definedName>
    <definedName name="в36" localSheetId="2">'[1]Содержание'!#REF!</definedName>
    <definedName name="в36" localSheetId="1">'[4]Содержание'!#REF!</definedName>
    <definedName name="в36" localSheetId="0">'[4]Содержание'!#REF!</definedName>
    <definedName name="в36">'[1]Содержание'!#REF!</definedName>
    <definedName name="год95" localSheetId="7">#REF!</definedName>
    <definedName name="год95" localSheetId="6">#REF!</definedName>
    <definedName name="год95" localSheetId="5">#REF!</definedName>
    <definedName name="год95" localSheetId="4">#REF!</definedName>
    <definedName name="год95" localSheetId="3">#REF!</definedName>
    <definedName name="год95" localSheetId="2">#REF!</definedName>
    <definedName name="год95" localSheetId="1">#REF!</definedName>
    <definedName name="год95" localSheetId="0">#REF!</definedName>
    <definedName name="год95">#REF!</definedName>
    <definedName name="год96" localSheetId="7">#REF!</definedName>
    <definedName name="год96" localSheetId="6">#REF!</definedName>
    <definedName name="год96" localSheetId="5">#REF!</definedName>
    <definedName name="год96" localSheetId="4">#REF!</definedName>
    <definedName name="год96" localSheetId="3">#REF!</definedName>
    <definedName name="год96" localSheetId="2">#REF!</definedName>
    <definedName name="год96" localSheetId="1">#REF!</definedName>
    <definedName name="год96" localSheetId="0">#REF!</definedName>
    <definedName name="год96">#REF!</definedName>
    <definedName name="год97" localSheetId="7">#REF!</definedName>
    <definedName name="год97" localSheetId="6">#REF!</definedName>
    <definedName name="год97" localSheetId="5">#REF!</definedName>
    <definedName name="год97" localSheetId="4">#REF!</definedName>
    <definedName name="год97" localSheetId="3">#REF!</definedName>
    <definedName name="год97" localSheetId="2">#REF!</definedName>
    <definedName name="год97" localSheetId="1">#REF!</definedName>
    <definedName name="год97" localSheetId="0">#REF!</definedName>
    <definedName name="год97">#REF!</definedName>
    <definedName name="ИСХОДДАН">'[2]ИСХОДНЫЕ ДАННЫЕ ДЕП'!$A$6:$N$1122</definedName>
    <definedName name="й374" localSheetId="7">#REF!</definedName>
    <definedName name="й374" localSheetId="6">#REF!</definedName>
    <definedName name="й374" localSheetId="5">#REF!</definedName>
    <definedName name="й374" localSheetId="4">#REF!</definedName>
    <definedName name="й374" localSheetId="3">#REF!</definedName>
    <definedName name="й374" localSheetId="2">#REF!</definedName>
    <definedName name="й374" localSheetId="1">#REF!</definedName>
    <definedName name="й374" localSheetId="0">#REF!</definedName>
    <definedName name="й374">#REF!</definedName>
    <definedName name="МЕСЯЦ">'[3]ИСХОДНЫЕ ДАННЫЕ KPЕД'!$A$6:$N$1187</definedName>
    <definedName name="с25" localSheetId="7">#REF!</definedName>
    <definedName name="с25" localSheetId="6">#REF!</definedName>
    <definedName name="с25" localSheetId="5">#REF!</definedName>
    <definedName name="с25" localSheetId="4">#REF!</definedName>
    <definedName name="с25" localSheetId="3">#REF!</definedName>
    <definedName name="с25" localSheetId="2">#REF!</definedName>
    <definedName name="с25" localSheetId="1">#REF!</definedName>
    <definedName name="с25" localSheetId="0">#REF!</definedName>
    <definedName name="с25">#REF!</definedName>
    <definedName name="с39" localSheetId="7">#REF!</definedName>
    <definedName name="с39" localSheetId="6">#REF!</definedName>
    <definedName name="с39" localSheetId="5">#REF!</definedName>
    <definedName name="с39" localSheetId="4">#REF!</definedName>
    <definedName name="с39" localSheetId="3">#REF!</definedName>
    <definedName name="с39" localSheetId="2">#REF!</definedName>
    <definedName name="с39" localSheetId="1">#REF!</definedName>
    <definedName name="с39" localSheetId="0">#REF!</definedName>
    <definedName name="с39">#REF!</definedName>
    <definedName name="фч6" localSheetId="7">#REF!</definedName>
    <definedName name="фч6" localSheetId="6">#REF!</definedName>
    <definedName name="фч6" localSheetId="5">#REF!</definedName>
    <definedName name="фч6" localSheetId="4">#REF!</definedName>
    <definedName name="фч6" localSheetId="3">#REF!</definedName>
    <definedName name="фч6" localSheetId="2">#REF!</definedName>
    <definedName name="фч6" localSheetId="1">#REF!</definedName>
    <definedName name="фч6" localSheetId="0">#REF!</definedName>
    <definedName name="фч6">#REF!</definedName>
  </definedNames>
  <calcPr fullCalcOnLoad="1"/>
</workbook>
</file>

<file path=xl/sharedStrings.xml><?xml version="1.0" encoding="utf-8"?>
<sst xmlns="http://schemas.openxmlformats.org/spreadsheetml/2006/main" count="819" uniqueCount="69">
  <si>
    <t>год</t>
  </si>
  <si>
    <t>по состоянию на</t>
  </si>
  <si>
    <t>янв</t>
  </si>
  <si>
    <t>фев</t>
  </si>
  <si>
    <t>мар</t>
  </si>
  <si>
    <t>Всего кредитных вложений</t>
  </si>
  <si>
    <t>в том числе:</t>
  </si>
  <si>
    <t>Министерству финансов</t>
  </si>
  <si>
    <t>Экономике</t>
  </si>
  <si>
    <t>из них:</t>
  </si>
  <si>
    <t>кредиты Национального банка</t>
  </si>
  <si>
    <t>кредиты кредитных организаций</t>
  </si>
  <si>
    <t>Кредитные вложения в национальной валюте</t>
  </si>
  <si>
    <t>из них</t>
  </si>
  <si>
    <t>Кредитные вложения  в иностранной валюте</t>
  </si>
  <si>
    <t>Справочно</t>
  </si>
  <si>
    <t>Просроченная задолженность по ссудам кредитных организаций</t>
  </si>
  <si>
    <t>по ссудам в национальной валюте</t>
  </si>
  <si>
    <t>май</t>
  </si>
  <si>
    <t>апр</t>
  </si>
  <si>
    <t>июн</t>
  </si>
  <si>
    <t>июл</t>
  </si>
  <si>
    <t>авг</t>
  </si>
  <si>
    <t>сен</t>
  </si>
  <si>
    <t>окт</t>
  </si>
  <si>
    <t>ноя</t>
  </si>
  <si>
    <t>дек</t>
  </si>
  <si>
    <t xml:space="preserve">янв </t>
  </si>
  <si>
    <t>по ссудам в иностранной валюте</t>
  </si>
  <si>
    <t xml:space="preserve">фев </t>
  </si>
  <si>
    <t>март</t>
  </si>
  <si>
    <t xml:space="preserve">                                                               (тыс. сомони)</t>
  </si>
  <si>
    <t xml:space="preserve"> Кредитные вложения  банковской системы и микрофинансовых организаций (на конец периода)</t>
  </si>
  <si>
    <t xml:space="preserve"> Кредитные вложения  банковской системы (на конец периода)</t>
  </si>
  <si>
    <t>кредиты кредитных и микрофинансовых организаций</t>
  </si>
  <si>
    <t>Просроченная задолженность по ссудам</t>
  </si>
  <si>
    <t xml:space="preserve">Просроченная задолженность </t>
  </si>
  <si>
    <t>дек*</t>
  </si>
  <si>
    <t>*-за счет всех источников финансирования, в том числе финансирования хлопкового сектора</t>
  </si>
  <si>
    <t xml:space="preserve"> Кредитные вложения  банковской системы  (на конец периода)</t>
  </si>
  <si>
    <t>Янв</t>
  </si>
  <si>
    <t>Фев</t>
  </si>
  <si>
    <t>Мар</t>
  </si>
  <si>
    <t>Апр</t>
  </si>
  <si>
    <t>Май</t>
  </si>
  <si>
    <t>Июнь</t>
  </si>
  <si>
    <t>Июль</t>
  </si>
  <si>
    <t>Авг</t>
  </si>
  <si>
    <t>Сен</t>
  </si>
  <si>
    <t>Окт</t>
  </si>
  <si>
    <t>Ноя</t>
  </si>
  <si>
    <t>Дек</t>
  </si>
  <si>
    <t xml:space="preserve"> Кредитные вложения  банковской системы   (на конец периода)</t>
  </si>
  <si>
    <t xml:space="preserve"> Кредитные вложения  банковской системы    (на конец периода)</t>
  </si>
  <si>
    <t>Июн</t>
  </si>
  <si>
    <t>(тыс. сомони)</t>
  </si>
  <si>
    <t xml:space="preserve"> Кредитные вложения  банковской системы                                                                                                                                                                                        (на конец периода)</t>
  </si>
  <si>
    <t>Июл</t>
  </si>
  <si>
    <t>Нояб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</si>
  <si>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</si>
  <si>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</si>
  <si>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</si>
  <si>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</si>
  <si>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</si>
  <si>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</si>
  <si>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</si>
  <si>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</si>
  <si>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</si>
  <si>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кредиты кредитно финансовых организаций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</si>
</sst>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c.&quot;;\-#,##0&quot;c.&quot;"/>
    <numFmt numFmtId="167" formatCode="#,##0&quot;c.&quot;;[Red]\-#,##0&quot;c.&quot;"/>
    <numFmt numFmtId="168" formatCode="#,##0.00&quot;c.&quot;;\-#,##0.00&quot;c.&quot;"/>
    <numFmt numFmtId="169" formatCode="#,##0.00&quot;c.&quot;;[Red]\-#,##0.00&quot;c.&quot;"/>
    <numFmt numFmtId="170" formatCode="_-* #,##0&quot;c.&quot;_-;\-* #,##0&quot;c.&quot;_-;_-* &quot;-&quot;&quot;c.&quot;_-;_-@_-"/>
    <numFmt numFmtId="171" formatCode="_-* #,##0_c_._-;\-* #,##0_c_._-;_-* &quot;-&quot;_c_._-;_-@_-"/>
    <numFmt numFmtId="172" formatCode="_-* #,##0.00&quot;c.&quot;_-;\-* #,##0.00&quot;c.&quot;_-;_-* &quot;-&quot;??&quot;c.&quot;_-;_-@_-"/>
    <numFmt numFmtId="173" formatCode="_-* #,##0.00_c_._-;\-* #,##0.00_c_._-;_-* &quot;-&quot;??_c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_(* #,##0_);_(* \(#,##0\);_(* &quot;-&quot;_);_(@_)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.0_р_._-;\-* #,##0.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 Cyr"/>
      <family val="2"/>
    </font>
    <font>
      <b/>
      <sz val="9"/>
      <name val="Palatino Linotype"/>
      <family val="1"/>
    </font>
    <font>
      <sz val="9"/>
      <name val="Palatino Linotype"/>
      <family val="1"/>
    </font>
    <font>
      <sz val="10"/>
      <name val="Palatino Linotype"/>
      <family val="1"/>
    </font>
    <font>
      <b/>
      <sz val="12"/>
      <name val="Palatino Linotype"/>
      <family val="1"/>
    </font>
    <font>
      <b/>
      <sz val="10"/>
      <name val="Palatino Linotyp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" fillId="0" borderId="0">
      <alignment/>
      <protection locked="0"/>
    </xf>
    <xf numFmtId="4" fontId="4" fillId="0" borderId="0">
      <alignment/>
      <protection locked="0"/>
    </xf>
    <xf numFmtId="4" fontId="4" fillId="0" borderId="0">
      <alignment/>
      <protection locked="0"/>
    </xf>
    <xf numFmtId="0" fontId="5" fillId="0" borderId="0">
      <alignment horizontal="center"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4" fillId="0" borderId="1">
      <alignment/>
      <protection locked="0"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17" fontId="2" fillId="0" borderId="0">
      <alignment/>
      <protection/>
    </xf>
    <xf numFmtId="0" fontId="4" fillId="0" borderId="0">
      <alignment/>
      <protection locked="0"/>
    </xf>
    <xf numFmtId="0" fontId="4" fillId="0" borderId="1">
      <alignment/>
      <protection locked="0"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9" fillId="32" borderId="0" applyNumberFormat="0" applyBorder="0" applyAlignment="0" applyProtection="0"/>
    <xf numFmtId="4" fontId="6" fillId="0" borderId="0">
      <alignment/>
      <protection locked="0"/>
    </xf>
  </cellStyleXfs>
  <cellXfs count="95">
    <xf numFmtId="0" fontId="0" fillId="0" borderId="0" xfId="0" applyAlignment="1">
      <alignment/>
    </xf>
    <xf numFmtId="3" fontId="8" fillId="33" borderId="11" xfId="69" applyNumberFormat="1" applyFont="1" applyFill="1" applyBorder="1">
      <alignment/>
      <protection/>
    </xf>
    <xf numFmtId="0" fontId="8" fillId="33" borderId="11" xfId="68" applyFont="1" applyFill="1" applyBorder="1" applyAlignment="1" applyProtection="1">
      <alignment horizontal="center" wrapText="1"/>
      <protection/>
    </xf>
    <xf numFmtId="0" fontId="8" fillId="33" borderId="11" xfId="68" applyNumberFormat="1" applyFont="1" applyFill="1" applyBorder="1" applyAlignment="1">
      <alignment horizontal="center" vertical="center" wrapText="1"/>
      <protection/>
    </xf>
    <xf numFmtId="182" fontId="8" fillId="33" borderId="11" xfId="78" applyFont="1" applyFill="1" applyBorder="1" applyAlignment="1" applyProtection="1">
      <alignment wrapText="1"/>
      <protection/>
    </xf>
    <xf numFmtId="3" fontId="8" fillId="0" borderId="11" xfId="69" applyNumberFormat="1" applyFont="1" applyBorder="1">
      <alignment/>
      <protection/>
    </xf>
    <xf numFmtId="0" fontId="9" fillId="33" borderId="11" xfId="68" applyFont="1" applyFill="1" applyBorder="1" applyAlignment="1" applyProtection="1">
      <alignment horizontal="left" vertical="center" wrapText="1" indent="1"/>
      <protection/>
    </xf>
    <xf numFmtId="182" fontId="9" fillId="33" borderId="11" xfId="78" applyFont="1" applyFill="1" applyBorder="1" applyAlignment="1" applyProtection="1">
      <alignment horizontal="left" wrapText="1" indent="1"/>
      <protection/>
    </xf>
    <xf numFmtId="3" fontId="9" fillId="0" borderId="11" xfId="69" applyNumberFormat="1" applyFont="1" applyBorder="1">
      <alignment/>
      <protection/>
    </xf>
    <xf numFmtId="0" fontId="9" fillId="33" borderId="11" xfId="68" applyFont="1" applyFill="1" applyBorder="1" applyAlignment="1" applyProtection="1">
      <alignment horizontal="left" vertical="center" wrapText="1" indent="2"/>
      <protection/>
    </xf>
    <xf numFmtId="182" fontId="9" fillId="33" borderId="11" xfId="78" applyFont="1" applyFill="1" applyBorder="1" applyAlignment="1" applyProtection="1">
      <alignment wrapText="1"/>
      <protection/>
    </xf>
    <xf numFmtId="0" fontId="9" fillId="33" borderId="11" xfId="68" applyFont="1" applyFill="1" applyBorder="1" applyAlignment="1">
      <alignment horizontal="left" wrapText="1" indent="1"/>
      <protection/>
    </xf>
    <xf numFmtId="0" fontId="9" fillId="33" borderId="11" xfId="68" applyFont="1" applyFill="1" applyBorder="1" applyAlignment="1">
      <alignment horizontal="left" wrapText="1" indent="2"/>
      <protection/>
    </xf>
    <xf numFmtId="0" fontId="3" fillId="33" borderId="11" xfId="68" applyFont="1" applyFill="1" applyBorder="1">
      <alignment/>
      <protection/>
    </xf>
    <xf numFmtId="0" fontId="9" fillId="0" borderId="11" xfId="69" applyFont="1" applyBorder="1">
      <alignment/>
      <protection/>
    </xf>
    <xf numFmtId="3" fontId="9" fillId="0" borderId="11" xfId="69" applyNumberFormat="1" applyFont="1" applyBorder="1">
      <alignment/>
      <protection/>
    </xf>
    <xf numFmtId="3" fontId="9" fillId="0" borderId="11" xfId="69" applyNumberFormat="1" applyFont="1" applyBorder="1" quotePrefix="1">
      <alignment/>
      <protection/>
    </xf>
    <xf numFmtId="3" fontId="9" fillId="0" borderId="11" xfId="69" applyNumberFormat="1" applyFont="1" applyFill="1" applyBorder="1">
      <alignment/>
      <protection/>
    </xf>
    <xf numFmtId="182" fontId="8" fillId="0" borderId="11" xfId="78" applyFont="1" applyFill="1" applyBorder="1" applyAlignment="1" applyProtection="1">
      <alignment wrapText="1"/>
      <protection/>
    </xf>
    <xf numFmtId="0" fontId="8" fillId="0" borderId="11" xfId="68" applyNumberFormat="1" applyFont="1" applyFill="1" applyBorder="1" applyAlignment="1">
      <alignment horizontal="center" vertical="center" wrapText="1"/>
      <protection/>
    </xf>
    <xf numFmtId="3" fontId="8" fillId="0" borderId="11" xfId="69" applyNumberFormat="1" applyFont="1" applyFill="1" applyBorder="1">
      <alignment/>
      <protection/>
    </xf>
    <xf numFmtId="0" fontId="9" fillId="0" borderId="11" xfId="69" applyFont="1" applyFill="1" applyBorder="1">
      <alignment/>
      <protection/>
    </xf>
    <xf numFmtId="3" fontId="9" fillId="0" borderId="11" xfId="69" applyNumberFormat="1" applyFont="1" applyFill="1" applyBorder="1" quotePrefix="1">
      <alignment/>
      <protection/>
    </xf>
    <xf numFmtId="0" fontId="3" fillId="0" borderId="11" xfId="68" applyFont="1" applyFill="1" applyBorder="1">
      <alignment/>
      <protection/>
    </xf>
    <xf numFmtId="0" fontId="12" fillId="33" borderId="11" xfId="68" applyNumberFormat="1" applyFont="1" applyFill="1" applyBorder="1" applyAlignment="1">
      <alignment horizontal="center" vertical="center" wrapText="1"/>
      <protection/>
    </xf>
    <xf numFmtId="3" fontId="9" fillId="0" borderId="11" xfId="69" applyNumberFormat="1" applyFont="1" applyFill="1" applyBorder="1">
      <alignment/>
      <protection/>
    </xf>
    <xf numFmtId="0" fontId="8" fillId="33" borderId="11" xfId="68" applyFont="1" applyFill="1" applyBorder="1" applyAlignment="1">
      <alignment horizontal="left" wrapText="1"/>
      <protection/>
    </xf>
    <xf numFmtId="3" fontId="12" fillId="0" borderId="11" xfId="69" applyNumberFormat="1" applyFont="1" applyBorder="1">
      <alignment/>
      <protection/>
    </xf>
    <xf numFmtId="0" fontId="13" fillId="0" borderId="11" xfId="69" applyFont="1" applyBorder="1">
      <alignment/>
      <protection/>
    </xf>
    <xf numFmtId="3" fontId="13" fillId="0" borderId="11" xfId="69" applyNumberFormat="1" applyFont="1" applyBorder="1">
      <alignment/>
      <protection/>
    </xf>
    <xf numFmtId="3" fontId="13" fillId="0" borderId="11" xfId="69" applyNumberFormat="1" applyFont="1" applyBorder="1" quotePrefix="1">
      <alignment/>
      <protection/>
    </xf>
    <xf numFmtId="3" fontId="12" fillId="33" borderId="11" xfId="69" applyNumberFormat="1" applyFont="1" applyFill="1" applyBorder="1">
      <alignment/>
      <protection/>
    </xf>
    <xf numFmtId="0" fontId="12" fillId="33" borderId="11" xfId="68" applyFont="1" applyFill="1" applyBorder="1" applyAlignment="1" applyProtection="1">
      <alignment horizontal="center" wrapText="1"/>
      <protection/>
    </xf>
    <xf numFmtId="0" fontId="12" fillId="0" borderId="11" xfId="68" applyNumberFormat="1" applyFont="1" applyFill="1" applyBorder="1" applyAlignment="1">
      <alignment horizontal="center" vertical="center" wrapText="1"/>
      <protection/>
    </xf>
    <xf numFmtId="182" fontId="12" fillId="33" borderId="11" xfId="78" applyFont="1" applyFill="1" applyBorder="1" applyAlignment="1" applyProtection="1">
      <alignment wrapText="1"/>
      <protection/>
    </xf>
    <xf numFmtId="3" fontId="12" fillId="0" borderId="11" xfId="69" applyNumberFormat="1" applyFont="1" applyFill="1" applyBorder="1">
      <alignment/>
      <protection/>
    </xf>
    <xf numFmtId="0" fontId="13" fillId="33" borderId="11" xfId="68" applyFont="1" applyFill="1" applyBorder="1" applyAlignment="1" applyProtection="1">
      <alignment horizontal="left" vertical="center" wrapText="1" indent="1"/>
      <protection/>
    </xf>
    <xf numFmtId="0" fontId="13" fillId="0" borderId="11" xfId="69" applyFont="1" applyFill="1" applyBorder="1">
      <alignment/>
      <protection/>
    </xf>
    <xf numFmtId="3" fontId="13" fillId="0" borderId="11" xfId="69" applyNumberFormat="1" applyFont="1" applyFill="1" applyBorder="1">
      <alignment/>
      <protection/>
    </xf>
    <xf numFmtId="0" fontId="13" fillId="33" borderId="11" xfId="68" applyFont="1" applyFill="1" applyBorder="1" applyAlignment="1" applyProtection="1">
      <alignment horizontal="left" vertical="center" wrapText="1" indent="2"/>
      <protection/>
    </xf>
    <xf numFmtId="182" fontId="12" fillId="0" borderId="11" xfId="78" applyFont="1" applyFill="1" applyBorder="1" applyAlignment="1" applyProtection="1">
      <alignment wrapText="1"/>
      <protection/>
    </xf>
    <xf numFmtId="182" fontId="13" fillId="33" borderId="11" xfId="78" applyFont="1" applyFill="1" applyBorder="1" applyAlignment="1" applyProtection="1">
      <alignment wrapText="1"/>
      <protection/>
    </xf>
    <xf numFmtId="3" fontId="13" fillId="0" borderId="11" xfId="69" applyNumberFormat="1" applyFont="1" applyFill="1" applyBorder="1" quotePrefix="1">
      <alignment/>
      <protection/>
    </xf>
    <xf numFmtId="0" fontId="14" fillId="0" borderId="0" xfId="0" applyFont="1" applyAlignment="1">
      <alignment/>
    </xf>
    <xf numFmtId="0" fontId="12" fillId="0" borderId="11" xfId="68" applyFont="1" applyFill="1" applyBorder="1" applyAlignment="1" applyProtection="1">
      <alignment horizontal="center" wrapText="1"/>
      <protection/>
    </xf>
    <xf numFmtId="0" fontId="13" fillId="0" borderId="11" xfId="68" applyFont="1" applyFill="1" applyBorder="1" applyAlignment="1" applyProtection="1">
      <alignment horizontal="left" vertical="center" wrapText="1" indent="1"/>
      <protection/>
    </xf>
    <xf numFmtId="0" fontId="13" fillId="0" borderId="11" xfId="68" applyFont="1" applyFill="1" applyBorder="1" applyAlignment="1" applyProtection="1">
      <alignment horizontal="left" vertical="center" wrapText="1" indent="2"/>
      <protection/>
    </xf>
    <xf numFmtId="182" fontId="13" fillId="0" borderId="11" xfId="78" applyFont="1" applyFill="1" applyBorder="1" applyAlignment="1" applyProtection="1">
      <alignment wrapText="1"/>
      <protection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12" xfId="68" applyNumberFormat="1" applyFont="1" applyFill="1" applyBorder="1" applyAlignment="1">
      <alignment horizontal="center" vertical="center" wrapText="1"/>
      <protection/>
    </xf>
    <xf numFmtId="0" fontId="12" fillId="0" borderId="13" xfId="68" applyNumberFormat="1" applyFont="1" applyFill="1" applyBorder="1" applyAlignment="1">
      <alignment horizontal="center" vertical="center" wrapText="1"/>
      <protection/>
    </xf>
    <xf numFmtId="3" fontId="0" fillId="0" borderId="0" xfId="0" applyNumberFormat="1" applyFont="1" applyFill="1" applyAlignment="1">
      <alignment/>
    </xf>
    <xf numFmtId="0" fontId="15" fillId="0" borderId="0" xfId="68" applyFont="1" applyFill="1" applyBorder="1" applyAlignment="1" applyProtection="1">
      <alignment vertical="center" wrapText="1"/>
      <protection/>
    </xf>
    <xf numFmtId="0" fontId="16" fillId="0" borderId="0" xfId="68" applyFont="1" applyFill="1" applyBorder="1" applyAlignment="1" applyProtection="1">
      <alignment vertical="center" wrapText="1"/>
      <protection/>
    </xf>
    <xf numFmtId="3" fontId="14" fillId="0" borderId="0" xfId="0" applyNumberFormat="1" applyFont="1" applyFill="1" applyAlignment="1">
      <alignment/>
    </xf>
    <xf numFmtId="187" fontId="14" fillId="0" borderId="0" xfId="79" applyNumberFormat="1" applyFont="1" applyFill="1" applyAlignment="1">
      <alignment/>
    </xf>
    <xf numFmtId="4" fontId="13" fillId="0" borderId="0" xfId="0" applyNumberFormat="1" applyFont="1" applyFill="1" applyAlignment="1">
      <alignment/>
    </xf>
    <xf numFmtId="0" fontId="15" fillId="0" borderId="0" xfId="68" applyFont="1" applyFill="1" applyBorder="1" applyAlignment="1" applyProtection="1">
      <alignment horizontal="center" vertical="center" wrapText="1"/>
      <protection/>
    </xf>
    <xf numFmtId="0" fontId="16" fillId="0" borderId="14" xfId="68" applyFont="1" applyFill="1" applyBorder="1" applyAlignment="1" applyProtection="1">
      <alignment horizontal="center" vertical="center" wrapText="1"/>
      <protection/>
    </xf>
    <xf numFmtId="0" fontId="12" fillId="0" borderId="15" xfId="68" applyFont="1" applyFill="1" applyBorder="1" applyAlignment="1" applyProtection="1">
      <alignment horizontal="center" vertical="center" wrapText="1"/>
      <protection/>
    </xf>
    <xf numFmtId="0" fontId="12" fillId="0" borderId="16" xfId="68" applyFont="1" applyFill="1" applyBorder="1" applyAlignment="1" applyProtection="1">
      <alignment horizontal="center" vertical="center" wrapText="1"/>
      <protection/>
    </xf>
    <xf numFmtId="0" fontId="12" fillId="0" borderId="17" xfId="68" applyFont="1" applyFill="1" applyBorder="1" applyAlignment="1" applyProtection="1">
      <alignment horizontal="center" vertical="center" wrapText="1"/>
      <protection/>
    </xf>
    <xf numFmtId="0" fontId="16" fillId="0" borderId="14" xfId="68" applyFont="1" applyFill="1" applyBorder="1" applyAlignment="1" applyProtection="1">
      <alignment horizontal="right" vertical="center" wrapText="1"/>
      <protection/>
    </xf>
    <xf numFmtId="0" fontId="16" fillId="0" borderId="0" xfId="68" applyFont="1" applyFill="1" applyBorder="1" applyAlignment="1" applyProtection="1">
      <alignment horizontal="center" vertical="center" wrapText="1"/>
      <protection/>
    </xf>
    <xf numFmtId="0" fontId="12" fillId="0" borderId="11" xfId="68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Font="1" applyFill="1" applyAlignment="1">
      <alignment wrapText="1"/>
    </xf>
    <xf numFmtId="0" fontId="16" fillId="0" borderId="0" xfId="68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wrapText="1"/>
    </xf>
    <xf numFmtId="0" fontId="12" fillId="0" borderId="11" xfId="68" applyFont="1" applyFill="1" applyBorder="1" applyAlignment="1" applyProtection="1">
      <alignment horizontal="center" wrapText="1"/>
      <protection/>
    </xf>
    <xf numFmtId="0" fontId="12" fillId="0" borderId="15" xfId="68" applyFont="1" applyFill="1" applyBorder="1" applyAlignment="1" applyProtection="1">
      <alignment horizontal="center" wrapText="1"/>
      <protection/>
    </xf>
    <xf numFmtId="0" fontId="12" fillId="0" borderId="16" xfId="68" applyFont="1" applyFill="1" applyBorder="1" applyAlignment="1" applyProtection="1">
      <alignment horizontal="center" wrapText="1"/>
      <protection/>
    </xf>
    <xf numFmtId="0" fontId="12" fillId="0" borderId="17" xfId="68" applyFont="1" applyFill="1" applyBorder="1" applyAlignment="1" applyProtection="1">
      <alignment horizontal="center" wrapText="1"/>
      <protection/>
    </xf>
    <xf numFmtId="0" fontId="12" fillId="0" borderId="11" xfId="68" applyNumberFormat="1" applyFont="1" applyFill="1" applyBorder="1" applyAlignment="1">
      <alignment horizontal="center" wrapText="1"/>
      <protection/>
    </xf>
    <xf numFmtId="0" fontId="15" fillId="33" borderId="0" xfId="68" applyFont="1" applyFill="1" applyBorder="1" applyAlignment="1" applyProtection="1">
      <alignment horizontal="center" vertical="center" wrapText="1"/>
      <protection/>
    </xf>
    <xf numFmtId="0" fontId="12" fillId="33" borderId="15" xfId="68" applyNumberFormat="1" applyFont="1" applyFill="1" applyBorder="1" applyAlignment="1">
      <alignment horizontal="center" wrapText="1"/>
      <protection/>
    </xf>
    <xf numFmtId="0" fontId="12" fillId="33" borderId="16" xfId="68" applyNumberFormat="1" applyFont="1" applyFill="1" applyBorder="1" applyAlignment="1">
      <alignment horizontal="center" wrapText="1"/>
      <protection/>
    </xf>
    <xf numFmtId="0" fontId="16" fillId="33" borderId="14" xfId="68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>
      <alignment wrapText="1"/>
    </xf>
    <xf numFmtId="0" fontId="16" fillId="33" borderId="14" xfId="68" applyFont="1" applyFill="1" applyBorder="1" applyAlignment="1" applyProtection="1">
      <alignment horizontal="right" vertical="center"/>
      <protection/>
    </xf>
    <xf numFmtId="0" fontId="14" fillId="0" borderId="14" xfId="0" applyFont="1" applyBorder="1" applyAlignment="1">
      <alignment/>
    </xf>
    <xf numFmtId="0" fontId="12" fillId="33" borderId="15" xfId="68" applyNumberFormat="1" applyFont="1" applyFill="1" applyBorder="1" applyAlignment="1">
      <alignment horizontal="center"/>
      <protection/>
    </xf>
    <xf numFmtId="0" fontId="12" fillId="33" borderId="16" xfId="68" applyNumberFormat="1" applyFont="1" applyFill="1" applyBorder="1" applyAlignment="1">
      <alignment horizontal="center"/>
      <protection/>
    </xf>
    <xf numFmtId="0" fontId="14" fillId="0" borderId="16" xfId="0" applyFont="1" applyBorder="1" applyAlignment="1">
      <alignment/>
    </xf>
    <xf numFmtId="0" fontId="0" fillId="0" borderId="17" xfId="0" applyBorder="1" applyAlignment="1">
      <alignment/>
    </xf>
    <xf numFmtId="0" fontId="8" fillId="33" borderId="15" xfId="68" applyNumberFormat="1" applyFont="1" applyFill="1" applyBorder="1" applyAlignment="1">
      <alignment horizontal="center"/>
      <protection/>
    </xf>
    <xf numFmtId="0" fontId="8" fillId="33" borderId="16" xfId="68" applyNumberFormat="1" applyFont="1" applyFill="1" applyBorder="1" applyAlignment="1">
      <alignment horizontal="center"/>
      <protection/>
    </xf>
    <xf numFmtId="0" fontId="8" fillId="33" borderId="17" xfId="68" applyNumberFormat="1" applyFont="1" applyFill="1" applyBorder="1" applyAlignment="1">
      <alignment horizontal="center"/>
      <protection/>
    </xf>
    <xf numFmtId="0" fontId="7" fillId="33" borderId="0" xfId="68" applyFont="1" applyFill="1" applyBorder="1" applyAlignment="1" applyProtection="1">
      <alignment horizontal="center" vertical="center" wrapText="1"/>
      <protection/>
    </xf>
    <xf numFmtId="0" fontId="10" fillId="33" borderId="14" xfId="68" applyFont="1" applyFill="1" applyBorder="1" applyAlignment="1" applyProtection="1">
      <alignment horizontal="right" vertical="center"/>
      <protection/>
    </xf>
  </cellXfs>
  <cellStyles count="68">
    <cellStyle name="Normal" xfId="0"/>
    <cellStyle name="”ќђќ‘ћ‚›‰" xfId="15"/>
    <cellStyle name="”љ‘ђћ‚ђќќ›‰" xfId="16"/>
    <cellStyle name="„…ќ…†ќ›‰" xfId="17"/>
    <cellStyle name="‡ђѓћ‹ћ‚ћљ" xfId="18"/>
    <cellStyle name="‡ђѓћ‹ћ‚ћљ1" xfId="19"/>
    <cellStyle name="‡ђѓћ‹ћ‚ћљ2" xfId="20"/>
    <cellStyle name="’ћѓћ‚›‰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Comma" xfId="40"/>
    <cellStyle name="Currency" xfId="41"/>
    <cellStyle name="Date" xfId="42"/>
    <cellStyle name="Fixed" xfId="43"/>
    <cellStyle name="Heading1" xfId="44"/>
    <cellStyle name="Heading2" xfId="45"/>
    <cellStyle name="Normal_NCAMA (2)" xfId="46"/>
    <cellStyle name="Percent" xfId="47"/>
    <cellStyle name="Total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ДАННЫЕ" xfId="68"/>
    <cellStyle name="Обычный_МАКЕТ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[0]_ДАННЫЕ" xfId="78"/>
    <cellStyle name="Финансовый 2" xfId="79"/>
    <cellStyle name="Хороший" xfId="80"/>
    <cellStyle name="Џђћ–…ќ’ќ›‰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files/docs/WINDOWS\Temporary%20Internet%20Files\Content.IE5\YYASLMRA\&#1052;&#1086;&#1080;%20&#1076;&#1086;&#1082;&#1091;&#1084;&#1077;&#1085;&#1090;&#1099;\&#1071;\&#1056;&#1072;&#1073;&#1086;&#1090;&#1072;\&#1056;&#1040;&#1048;&#1057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34\2003\DEPOZIT%20%%20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34\2003\CREDIT%20%%20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tj/files/docs/statistics/WINDOWS\Temporary%20Internet%20Files\Content.IE5\YYASLMRA\&#1052;&#1086;&#1080;%20&#1076;&#1086;&#1082;&#1091;&#1084;&#1077;&#1085;&#1090;&#1099;\&#1071;\&#1056;&#1072;&#1073;&#1086;&#1090;&#1072;\&#1056;&#1040;&#1048;&#1057;&#105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krvloj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Основные показатели"/>
      <sheetName val="Кредитные вложения (всего)"/>
      <sheetName val="Виды собственности (нацвалюта)"/>
      <sheetName val="Виды собственности (инвалюта)"/>
      <sheetName val="Депозиты"/>
      <sheetName val="Обменные пункты"/>
      <sheetName val="БСД"/>
      <sheetName val="О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 ДЕП"/>
      <sheetName val="НАЦ ДЕП"/>
      <sheetName val="ИН ДЕП"/>
      <sheetName val="Репрезентативные ставк. ДЕП нац"/>
      <sheetName val="Репрезентативные ставк. ДЕП ин"/>
      <sheetName val="TJS"/>
      <sheetName val="USD"/>
      <sheetName val="EURO"/>
      <sheetName val="RUR"/>
      <sheetName val="ОБМЕН ДЕП"/>
      <sheetName val="Межгосбанк (УМР)"/>
      <sheetName val="Сверка ДЕПИН"/>
    </sheetNames>
    <sheetDataSet>
      <sheetData sheetId="0">
        <row r="6">
          <cell r="A6" t="str">
            <v>Год</v>
          </cell>
          <cell r="B6" t="str">
            <v>Месяц</v>
          </cell>
          <cell r="C6" t="str">
            <v>Вид депозитов</v>
          </cell>
          <cell r="D6" t="str">
            <v>Срок, дней</v>
          </cell>
          <cell r="E6" t="str">
            <v>Вкладчики</v>
          </cell>
          <cell r="F6" t="str">
            <v>Код валюты</v>
          </cell>
          <cell r="G6" t="str">
            <v>Ставка, % годовых</v>
          </cell>
          <cell r="H6" t="str">
            <v>Сумма депозитов, сомони </v>
          </cell>
          <cell r="I6" t="str">
            <v>Количество депозитов </v>
          </cell>
          <cell r="J6" t="str">
            <v>БАНК</v>
          </cell>
          <cell r="K6" t="str">
            <v>РАСЧЁТ</v>
          </cell>
          <cell r="L6" t="str">
            <v>Сумма депозитов, пересчет</v>
          </cell>
          <cell r="M6" t="str">
            <v>ПЕРЕРАСЧЁТ КУРСА</v>
          </cell>
          <cell r="N6" t="str">
            <v>РАСЧЁТ1</v>
          </cell>
        </row>
        <row r="7">
          <cell r="A7">
            <v>2003</v>
          </cell>
          <cell r="B7">
            <v>1</v>
          </cell>
          <cell r="C7">
            <v>1</v>
          </cell>
          <cell r="D7">
            <v>0</v>
          </cell>
          <cell r="E7">
            <v>1</v>
          </cell>
          <cell r="F7" t="str">
            <v>TJS</v>
          </cell>
          <cell r="G7">
            <v>0</v>
          </cell>
          <cell r="H7">
            <v>78310</v>
          </cell>
          <cell r="I7">
            <v>5</v>
          </cell>
          <cell r="J7" t="str">
            <v>"Тиджорат" ИРИ</v>
          </cell>
          <cell r="K7">
            <v>0</v>
          </cell>
          <cell r="L7">
            <v>78310</v>
          </cell>
          <cell r="M7">
            <v>1</v>
          </cell>
          <cell r="N7">
            <v>0</v>
          </cell>
        </row>
        <row r="8">
          <cell r="A8">
            <v>2003</v>
          </cell>
          <cell r="B8">
            <v>1</v>
          </cell>
          <cell r="C8">
            <v>1</v>
          </cell>
          <cell r="D8">
            <v>0</v>
          </cell>
          <cell r="E8">
            <v>2</v>
          </cell>
          <cell r="F8" t="str">
            <v>TJS</v>
          </cell>
          <cell r="G8">
            <v>0</v>
          </cell>
          <cell r="H8">
            <v>201235</v>
          </cell>
          <cell r="I8">
            <v>2</v>
          </cell>
          <cell r="J8" t="str">
            <v>"Тиджорат" ИРИ</v>
          </cell>
          <cell r="K8">
            <v>0</v>
          </cell>
          <cell r="L8">
            <v>201235</v>
          </cell>
          <cell r="M8">
            <v>1</v>
          </cell>
          <cell r="N8">
            <v>0</v>
          </cell>
        </row>
        <row r="9">
          <cell r="A9">
            <v>2003</v>
          </cell>
          <cell r="B9">
            <v>1</v>
          </cell>
          <cell r="C9">
            <v>1</v>
          </cell>
          <cell r="D9">
            <v>0</v>
          </cell>
          <cell r="E9">
            <v>1</v>
          </cell>
          <cell r="F9" t="str">
            <v>USD</v>
          </cell>
          <cell r="G9">
            <v>0</v>
          </cell>
          <cell r="H9">
            <v>1142515</v>
          </cell>
          <cell r="I9">
            <v>8</v>
          </cell>
          <cell r="J9" t="str">
            <v>"Тиджорат" ИРИ</v>
          </cell>
          <cell r="K9">
            <v>0</v>
          </cell>
          <cell r="L9">
            <v>1122363.8454692557</v>
          </cell>
          <cell r="M9">
            <v>0.9823624595469256</v>
          </cell>
          <cell r="N9">
            <v>0</v>
          </cell>
        </row>
        <row r="10">
          <cell r="A10">
            <v>2003</v>
          </cell>
          <cell r="B10">
            <v>1</v>
          </cell>
          <cell r="C10">
            <v>1</v>
          </cell>
          <cell r="D10">
            <v>0</v>
          </cell>
          <cell r="E10">
            <v>2</v>
          </cell>
          <cell r="F10" t="str">
            <v>USD</v>
          </cell>
          <cell r="G10">
            <v>0</v>
          </cell>
          <cell r="H10">
            <v>1365349</v>
          </cell>
          <cell r="I10">
            <v>27</v>
          </cell>
          <cell r="J10" t="str">
            <v>"Тиджорат" ИРИ</v>
          </cell>
          <cell r="K10">
            <v>0</v>
          </cell>
          <cell r="L10">
            <v>1341267.6017799352</v>
          </cell>
          <cell r="M10">
            <v>0.9823624595469256</v>
          </cell>
          <cell r="N10">
            <v>0</v>
          </cell>
        </row>
        <row r="11">
          <cell r="A11">
            <v>2003</v>
          </cell>
          <cell r="B11">
            <v>1</v>
          </cell>
          <cell r="C11">
            <v>3</v>
          </cell>
          <cell r="D11">
            <v>0</v>
          </cell>
          <cell r="E11">
            <v>2</v>
          </cell>
          <cell r="F11" t="str">
            <v>USD</v>
          </cell>
          <cell r="G11">
            <v>0</v>
          </cell>
          <cell r="H11">
            <v>139085</v>
          </cell>
          <cell r="I11">
            <v>7</v>
          </cell>
          <cell r="J11" t="str">
            <v>"Тиджорат" ИРИ</v>
          </cell>
          <cell r="K11">
            <v>0</v>
          </cell>
          <cell r="L11">
            <v>136631.88268608414</v>
          </cell>
          <cell r="M11">
            <v>0.9823624595469256</v>
          </cell>
          <cell r="N11">
            <v>0</v>
          </cell>
        </row>
        <row r="12">
          <cell r="A12">
            <v>2003</v>
          </cell>
          <cell r="B12">
            <v>1</v>
          </cell>
          <cell r="C12">
            <v>1</v>
          </cell>
          <cell r="D12">
            <v>0</v>
          </cell>
          <cell r="E12">
            <v>1</v>
          </cell>
          <cell r="F12" t="str">
            <v>RUR</v>
          </cell>
          <cell r="G12">
            <v>0</v>
          </cell>
          <cell r="H12">
            <v>1371012</v>
          </cell>
          <cell r="I12">
            <v>12</v>
          </cell>
          <cell r="J12" t="str">
            <v>АК АПИБ "Агроинвестбанк"</v>
          </cell>
          <cell r="K12">
            <v>0</v>
          </cell>
          <cell r="L12">
            <v>1286225.1994887427</v>
          </cell>
          <cell r="M12">
            <v>0.9381575066365158</v>
          </cell>
          <cell r="N12">
            <v>0</v>
          </cell>
        </row>
        <row r="13">
          <cell r="A13">
            <v>2003</v>
          </cell>
          <cell r="B13">
            <v>1</v>
          </cell>
          <cell r="C13">
            <v>2</v>
          </cell>
          <cell r="D13">
            <v>30</v>
          </cell>
          <cell r="E13">
            <v>1</v>
          </cell>
          <cell r="F13" t="str">
            <v>RUR</v>
          </cell>
          <cell r="G13">
            <v>12</v>
          </cell>
          <cell r="H13">
            <v>300</v>
          </cell>
          <cell r="I13">
            <v>1</v>
          </cell>
          <cell r="J13" t="str">
            <v>АК АПИБ "Агроинвестбанк"</v>
          </cell>
          <cell r="K13">
            <v>3600</v>
          </cell>
          <cell r="L13">
            <v>281.4472519909547</v>
          </cell>
          <cell r="M13">
            <v>0.9381575066365158</v>
          </cell>
          <cell r="N13">
            <v>3377.367023891457</v>
          </cell>
        </row>
        <row r="14">
          <cell r="A14">
            <v>2003</v>
          </cell>
          <cell r="B14">
            <v>1</v>
          </cell>
          <cell r="C14">
            <v>3</v>
          </cell>
          <cell r="D14">
            <v>0</v>
          </cell>
          <cell r="E14">
            <v>2</v>
          </cell>
          <cell r="F14" t="str">
            <v>RUR</v>
          </cell>
          <cell r="G14">
            <v>6</v>
          </cell>
          <cell r="H14">
            <v>205</v>
          </cell>
          <cell r="I14">
            <v>1</v>
          </cell>
          <cell r="J14" t="str">
            <v>АК АПИБ "Агроинвестбанк"</v>
          </cell>
          <cell r="K14">
            <v>1230</v>
          </cell>
          <cell r="L14">
            <v>192.32228886048574</v>
          </cell>
          <cell r="M14">
            <v>0.9381575066365158</v>
          </cell>
          <cell r="N14">
            <v>1153.9337331629145</v>
          </cell>
        </row>
        <row r="15">
          <cell r="A15">
            <v>2003</v>
          </cell>
          <cell r="B15">
            <v>1</v>
          </cell>
          <cell r="C15">
            <v>1</v>
          </cell>
          <cell r="D15">
            <v>0</v>
          </cell>
          <cell r="E15">
            <v>1</v>
          </cell>
          <cell r="F15" t="str">
            <v>TJS</v>
          </cell>
          <cell r="G15">
            <v>0</v>
          </cell>
          <cell r="H15">
            <v>42044571</v>
          </cell>
          <cell r="I15">
            <v>434</v>
          </cell>
          <cell r="J15" t="str">
            <v>АК АПИБ "Агроинвестбанк"</v>
          </cell>
          <cell r="K15">
            <v>0</v>
          </cell>
          <cell r="L15">
            <v>42044571</v>
          </cell>
          <cell r="M15">
            <v>1</v>
          </cell>
          <cell r="N15">
            <v>0</v>
          </cell>
        </row>
        <row r="16">
          <cell r="A16">
            <v>2003</v>
          </cell>
          <cell r="B16">
            <v>1</v>
          </cell>
          <cell r="C16">
            <v>1</v>
          </cell>
          <cell r="D16">
            <v>0</v>
          </cell>
          <cell r="E16">
            <v>2</v>
          </cell>
          <cell r="F16" t="str">
            <v>TJS</v>
          </cell>
          <cell r="G16">
            <v>0</v>
          </cell>
          <cell r="H16">
            <v>308798</v>
          </cell>
          <cell r="I16">
            <v>3</v>
          </cell>
          <cell r="J16" t="str">
            <v>АК АПИБ "Агроинвестбанк"</v>
          </cell>
          <cell r="K16">
            <v>0</v>
          </cell>
          <cell r="L16">
            <v>308798</v>
          </cell>
          <cell r="M16">
            <v>1</v>
          </cell>
          <cell r="N16">
            <v>0</v>
          </cell>
        </row>
        <row r="17">
          <cell r="A17">
            <v>2003</v>
          </cell>
          <cell r="B17">
            <v>1</v>
          </cell>
          <cell r="C17">
            <v>3</v>
          </cell>
          <cell r="D17">
            <v>0</v>
          </cell>
          <cell r="E17">
            <v>2</v>
          </cell>
          <cell r="F17" t="str">
            <v>TJS</v>
          </cell>
          <cell r="G17">
            <v>15</v>
          </cell>
          <cell r="H17">
            <v>63891</v>
          </cell>
          <cell r="I17">
            <v>24</v>
          </cell>
          <cell r="J17" t="str">
            <v>АК АПИБ "Агроинвестбанк"</v>
          </cell>
          <cell r="K17">
            <v>958365</v>
          </cell>
          <cell r="L17">
            <v>63891</v>
          </cell>
          <cell r="M17">
            <v>1</v>
          </cell>
          <cell r="N17">
            <v>958365</v>
          </cell>
        </row>
        <row r="18">
          <cell r="A18">
            <v>2003</v>
          </cell>
          <cell r="B18">
            <v>1</v>
          </cell>
          <cell r="C18">
            <v>2</v>
          </cell>
          <cell r="D18">
            <v>90</v>
          </cell>
          <cell r="E18">
            <v>1</v>
          </cell>
          <cell r="F18" t="str">
            <v>TJS</v>
          </cell>
          <cell r="G18">
            <v>15</v>
          </cell>
          <cell r="H18">
            <v>7000</v>
          </cell>
          <cell r="I18">
            <v>2</v>
          </cell>
          <cell r="J18" t="str">
            <v>АК АПИБ "Агроинвестбанк"</v>
          </cell>
          <cell r="K18">
            <v>105000</v>
          </cell>
          <cell r="L18">
            <v>7000</v>
          </cell>
          <cell r="M18">
            <v>1</v>
          </cell>
          <cell r="N18">
            <v>105000</v>
          </cell>
        </row>
        <row r="19">
          <cell r="A19">
            <v>2003</v>
          </cell>
          <cell r="B19">
            <v>1</v>
          </cell>
          <cell r="C19">
            <v>2</v>
          </cell>
          <cell r="D19">
            <v>350</v>
          </cell>
          <cell r="E19">
            <v>1</v>
          </cell>
          <cell r="F19" t="str">
            <v>TJS</v>
          </cell>
          <cell r="G19">
            <v>15</v>
          </cell>
          <cell r="H19">
            <v>400</v>
          </cell>
          <cell r="I19">
            <v>1</v>
          </cell>
          <cell r="J19" t="str">
            <v>АК АПИБ "Агроинвестбанк"</v>
          </cell>
          <cell r="K19">
            <v>6000</v>
          </cell>
          <cell r="L19">
            <v>400</v>
          </cell>
          <cell r="M19">
            <v>1</v>
          </cell>
          <cell r="N19">
            <v>6000</v>
          </cell>
        </row>
        <row r="20">
          <cell r="A20">
            <v>2003</v>
          </cell>
          <cell r="B20">
            <v>1</v>
          </cell>
          <cell r="C20">
            <v>2</v>
          </cell>
          <cell r="D20">
            <v>90</v>
          </cell>
          <cell r="E20">
            <v>2</v>
          </cell>
          <cell r="F20" t="str">
            <v>TJS</v>
          </cell>
          <cell r="G20">
            <v>15</v>
          </cell>
          <cell r="H20">
            <v>4870</v>
          </cell>
          <cell r="I20">
            <v>2</v>
          </cell>
          <cell r="J20" t="str">
            <v>АК АПИБ "Агроинвестбанк"</v>
          </cell>
          <cell r="K20">
            <v>73050</v>
          </cell>
          <cell r="L20">
            <v>4870</v>
          </cell>
          <cell r="M20">
            <v>1</v>
          </cell>
          <cell r="N20">
            <v>73050</v>
          </cell>
        </row>
        <row r="21">
          <cell r="A21">
            <v>2003</v>
          </cell>
          <cell r="B21">
            <v>1</v>
          </cell>
          <cell r="C21">
            <v>2</v>
          </cell>
          <cell r="D21">
            <v>350</v>
          </cell>
          <cell r="E21">
            <v>2</v>
          </cell>
          <cell r="F21" t="str">
            <v>TJS</v>
          </cell>
          <cell r="G21">
            <v>15</v>
          </cell>
          <cell r="H21">
            <v>70</v>
          </cell>
          <cell r="I21">
            <v>1</v>
          </cell>
          <cell r="J21" t="str">
            <v>АК АПИБ "Агроинвестбанк"</v>
          </cell>
          <cell r="K21">
            <v>1050</v>
          </cell>
          <cell r="L21">
            <v>70</v>
          </cell>
          <cell r="M21">
            <v>1</v>
          </cell>
          <cell r="N21">
            <v>1050</v>
          </cell>
        </row>
        <row r="22">
          <cell r="A22">
            <v>2003</v>
          </cell>
          <cell r="B22">
            <v>1</v>
          </cell>
          <cell r="C22">
            <v>1</v>
          </cell>
          <cell r="D22">
            <v>0</v>
          </cell>
          <cell r="E22">
            <v>1</v>
          </cell>
          <cell r="F22" t="str">
            <v>USD</v>
          </cell>
          <cell r="G22">
            <v>0</v>
          </cell>
          <cell r="H22">
            <v>33086394</v>
          </cell>
          <cell r="I22">
            <v>40</v>
          </cell>
          <cell r="J22" t="str">
            <v>АК АПИБ "Агроинвестбанк"</v>
          </cell>
          <cell r="K22">
            <v>0</v>
          </cell>
          <cell r="L22">
            <v>32502831.38737864</v>
          </cell>
          <cell r="M22">
            <v>0.9823624595469256</v>
          </cell>
          <cell r="N22">
            <v>0</v>
          </cell>
        </row>
        <row r="23">
          <cell r="A23">
            <v>2003</v>
          </cell>
          <cell r="B23">
            <v>1</v>
          </cell>
          <cell r="C23">
            <v>1</v>
          </cell>
          <cell r="D23">
            <v>0</v>
          </cell>
          <cell r="E23">
            <v>2</v>
          </cell>
          <cell r="F23" t="str">
            <v>USD</v>
          </cell>
          <cell r="G23">
            <v>0</v>
          </cell>
          <cell r="H23">
            <v>405503</v>
          </cell>
          <cell r="I23">
            <v>2</v>
          </cell>
          <cell r="J23" t="str">
            <v>АК АПИБ "Агроинвестбанк"</v>
          </cell>
          <cell r="K23">
            <v>0</v>
          </cell>
          <cell r="L23">
            <v>398350.92443365697</v>
          </cell>
          <cell r="M23">
            <v>0.9823624595469256</v>
          </cell>
          <cell r="N23">
            <v>0</v>
          </cell>
        </row>
        <row r="24">
          <cell r="A24">
            <v>2003</v>
          </cell>
          <cell r="B24">
            <v>1</v>
          </cell>
          <cell r="C24">
            <v>3</v>
          </cell>
          <cell r="D24">
            <v>0</v>
          </cell>
          <cell r="E24">
            <v>2</v>
          </cell>
          <cell r="F24" t="str">
            <v>USD</v>
          </cell>
          <cell r="G24">
            <v>12</v>
          </cell>
          <cell r="H24">
            <v>565982</v>
          </cell>
          <cell r="I24">
            <v>11</v>
          </cell>
          <cell r="J24" t="str">
            <v>АК АПИБ "Агроинвестбанк"</v>
          </cell>
          <cell r="K24">
            <v>6791784</v>
          </cell>
          <cell r="L24">
            <v>555999.469579288</v>
          </cell>
          <cell r="M24">
            <v>0.9823624595469256</v>
          </cell>
          <cell r="N24">
            <v>6671993.634951456</v>
          </cell>
        </row>
        <row r="25">
          <cell r="A25">
            <v>2003</v>
          </cell>
          <cell r="B25">
            <v>1</v>
          </cell>
          <cell r="C25">
            <v>2</v>
          </cell>
          <cell r="D25">
            <v>366</v>
          </cell>
          <cell r="E25">
            <v>1</v>
          </cell>
          <cell r="F25" t="str">
            <v>USD</v>
          </cell>
          <cell r="G25">
            <v>15</v>
          </cell>
          <cell r="H25">
            <v>413</v>
          </cell>
          <cell r="I25">
            <v>1</v>
          </cell>
          <cell r="J25" t="str">
            <v>АК АПИБ "Агроинвестбанк"</v>
          </cell>
          <cell r="K25">
            <v>6195</v>
          </cell>
          <cell r="L25">
            <v>405.71569579288024</v>
          </cell>
          <cell r="M25">
            <v>0.9823624595469256</v>
          </cell>
          <cell r="N25">
            <v>6085.735436893204</v>
          </cell>
        </row>
        <row r="26">
          <cell r="A26">
            <v>2003</v>
          </cell>
          <cell r="B26">
            <v>1</v>
          </cell>
          <cell r="C26">
            <v>2</v>
          </cell>
          <cell r="D26">
            <v>90</v>
          </cell>
          <cell r="E26">
            <v>2</v>
          </cell>
          <cell r="F26" t="str">
            <v>USD</v>
          </cell>
          <cell r="G26">
            <v>6.5</v>
          </cell>
          <cell r="H26">
            <v>1927</v>
          </cell>
          <cell r="I26">
            <v>8</v>
          </cell>
          <cell r="J26" t="str">
            <v>АК АПИБ "Агроинвестбанк"</v>
          </cell>
          <cell r="K26">
            <v>12525.5</v>
          </cell>
          <cell r="L26">
            <v>1893.0124595469256</v>
          </cell>
          <cell r="M26">
            <v>0.9823624595469256</v>
          </cell>
          <cell r="N26">
            <v>12304.580987055017</v>
          </cell>
        </row>
        <row r="27">
          <cell r="A27">
            <v>2003</v>
          </cell>
          <cell r="B27">
            <v>1</v>
          </cell>
          <cell r="C27">
            <v>2</v>
          </cell>
          <cell r="D27">
            <v>180</v>
          </cell>
          <cell r="E27">
            <v>2</v>
          </cell>
          <cell r="F27" t="str">
            <v>USD</v>
          </cell>
          <cell r="G27">
            <v>10</v>
          </cell>
          <cell r="H27">
            <v>4831</v>
          </cell>
          <cell r="I27">
            <v>4</v>
          </cell>
          <cell r="J27" t="str">
            <v>АК АПИБ "Агроинвестбанк"</v>
          </cell>
          <cell r="K27">
            <v>48310</v>
          </cell>
          <cell r="L27">
            <v>4745.793042071197</v>
          </cell>
          <cell r="M27">
            <v>0.9823624595469256</v>
          </cell>
          <cell r="N27">
            <v>47457.93042071197</v>
          </cell>
        </row>
        <row r="28">
          <cell r="A28">
            <v>2003</v>
          </cell>
          <cell r="B28">
            <v>1</v>
          </cell>
          <cell r="C28">
            <v>2</v>
          </cell>
          <cell r="D28">
            <v>360</v>
          </cell>
          <cell r="E28">
            <v>2</v>
          </cell>
          <cell r="F28" t="str">
            <v>USD</v>
          </cell>
          <cell r="G28">
            <v>15</v>
          </cell>
          <cell r="H28">
            <v>92530</v>
          </cell>
          <cell r="I28">
            <v>3</v>
          </cell>
          <cell r="J28" t="str">
            <v>АК АПИБ "Агроинвестбанк"</v>
          </cell>
          <cell r="K28">
            <v>1387950</v>
          </cell>
          <cell r="L28">
            <v>90897.99838187703</v>
          </cell>
          <cell r="M28">
            <v>0.9823624595469256</v>
          </cell>
          <cell r="N28">
            <v>1363469.9757281553</v>
          </cell>
        </row>
        <row r="29">
          <cell r="A29">
            <v>2003</v>
          </cell>
          <cell r="B29">
            <v>1</v>
          </cell>
          <cell r="C29">
            <v>2</v>
          </cell>
          <cell r="D29">
            <v>360</v>
          </cell>
          <cell r="E29">
            <v>2</v>
          </cell>
          <cell r="F29" t="str">
            <v>USD</v>
          </cell>
          <cell r="G29">
            <v>7</v>
          </cell>
          <cell r="H29">
            <v>3643</v>
          </cell>
          <cell r="I29">
            <v>1</v>
          </cell>
          <cell r="J29" t="str">
            <v>АК АПИБ "Агроинвестбанк"</v>
          </cell>
          <cell r="K29">
            <v>25501</v>
          </cell>
          <cell r="L29">
            <v>3578.74644012945</v>
          </cell>
          <cell r="M29">
            <v>0.9823624595469256</v>
          </cell>
          <cell r="N29">
            <v>25051.225080906148</v>
          </cell>
        </row>
        <row r="30">
          <cell r="A30">
            <v>2003</v>
          </cell>
          <cell r="B30">
            <v>1</v>
          </cell>
          <cell r="C30">
            <v>2</v>
          </cell>
          <cell r="D30">
            <v>366</v>
          </cell>
          <cell r="E30">
            <v>2</v>
          </cell>
          <cell r="F30" t="str">
            <v>USD</v>
          </cell>
          <cell r="G30">
            <v>7</v>
          </cell>
          <cell r="H30">
            <v>26046</v>
          </cell>
          <cell r="I30">
            <v>9</v>
          </cell>
          <cell r="J30" t="str">
            <v>АК АПИБ "Агроинвестбанк"</v>
          </cell>
          <cell r="K30">
            <v>182322</v>
          </cell>
          <cell r="L30">
            <v>25586.612621359225</v>
          </cell>
          <cell r="M30">
            <v>0.9823624595469256</v>
          </cell>
          <cell r="N30">
            <v>179106.28834951457</v>
          </cell>
        </row>
        <row r="31">
          <cell r="A31">
            <v>2003</v>
          </cell>
          <cell r="B31">
            <v>1</v>
          </cell>
          <cell r="C31">
            <v>1</v>
          </cell>
          <cell r="D31">
            <v>0</v>
          </cell>
          <cell r="E31">
            <v>1</v>
          </cell>
          <cell r="F31" t="str">
            <v>RUR</v>
          </cell>
          <cell r="G31">
            <v>0</v>
          </cell>
          <cell r="H31">
            <v>71660</v>
          </cell>
          <cell r="I31">
            <v>5</v>
          </cell>
          <cell r="J31" t="str">
            <v>АКБ  СП "Сохибкорбанк"</v>
          </cell>
          <cell r="K31">
            <v>0</v>
          </cell>
          <cell r="L31">
            <v>67228.36692557271</v>
          </cell>
          <cell r="M31">
            <v>0.9381575066365158</v>
          </cell>
          <cell r="N31">
            <v>0</v>
          </cell>
        </row>
        <row r="32">
          <cell r="A32">
            <v>2003</v>
          </cell>
          <cell r="B32">
            <v>1</v>
          </cell>
          <cell r="C32">
            <v>1</v>
          </cell>
          <cell r="D32">
            <v>0</v>
          </cell>
          <cell r="E32">
            <v>1</v>
          </cell>
          <cell r="F32" t="str">
            <v>TJS</v>
          </cell>
          <cell r="G32">
            <v>0</v>
          </cell>
          <cell r="H32">
            <v>2492627</v>
          </cell>
          <cell r="I32">
            <v>58</v>
          </cell>
          <cell r="J32" t="str">
            <v>АКБ  СП "Сохибкорбанк"</v>
          </cell>
          <cell r="K32">
            <v>0</v>
          </cell>
          <cell r="L32">
            <v>2492627</v>
          </cell>
          <cell r="M32">
            <v>1</v>
          </cell>
          <cell r="N32">
            <v>0</v>
          </cell>
        </row>
        <row r="33">
          <cell r="A33">
            <v>2003</v>
          </cell>
          <cell r="B33">
            <v>1</v>
          </cell>
          <cell r="C33">
            <v>2</v>
          </cell>
          <cell r="D33">
            <v>90</v>
          </cell>
          <cell r="E33">
            <v>2</v>
          </cell>
          <cell r="F33" t="str">
            <v>TJS</v>
          </cell>
          <cell r="G33">
            <v>60</v>
          </cell>
          <cell r="H33">
            <v>175</v>
          </cell>
          <cell r="I33">
            <v>1</v>
          </cell>
          <cell r="J33" t="str">
            <v>АКБ  СП "Сохибкорбанк"</v>
          </cell>
          <cell r="K33">
            <v>10500</v>
          </cell>
          <cell r="L33">
            <v>175</v>
          </cell>
          <cell r="M33">
            <v>1</v>
          </cell>
          <cell r="N33">
            <v>10500</v>
          </cell>
        </row>
        <row r="34">
          <cell r="A34">
            <v>2003</v>
          </cell>
          <cell r="B34">
            <v>1</v>
          </cell>
          <cell r="C34">
            <v>1</v>
          </cell>
          <cell r="D34">
            <v>0</v>
          </cell>
          <cell r="E34">
            <v>1</v>
          </cell>
          <cell r="F34" t="str">
            <v>USD</v>
          </cell>
          <cell r="G34">
            <v>0</v>
          </cell>
          <cell r="H34">
            <v>1367033</v>
          </cell>
          <cell r="I34">
            <v>8</v>
          </cell>
          <cell r="J34" t="str">
            <v>АКБ  СП "Сохибкорбанк"</v>
          </cell>
          <cell r="K34">
            <v>0</v>
          </cell>
          <cell r="L34">
            <v>1342921.9001618123</v>
          </cell>
          <cell r="M34">
            <v>0.9823624595469256</v>
          </cell>
          <cell r="N34">
            <v>0</v>
          </cell>
        </row>
        <row r="35">
          <cell r="A35">
            <v>2003</v>
          </cell>
          <cell r="B35">
            <v>1</v>
          </cell>
          <cell r="C35">
            <v>2</v>
          </cell>
          <cell r="D35">
            <v>330</v>
          </cell>
          <cell r="E35">
            <v>2</v>
          </cell>
          <cell r="F35" t="str">
            <v>USD</v>
          </cell>
          <cell r="G35">
            <v>18</v>
          </cell>
          <cell r="H35">
            <v>700</v>
          </cell>
          <cell r="I35">
            <v>1</v>
          </cell>
          <cell r="J35" t="str">
            <v>АКБ  СП "Сохибкорбанк"</v>
          </cell>
          <cell r="K35">
            <v>12600</v>
          </cell>
          <cell r="L35">
            <v>687.653721682848</v>
          </cell>
          <cell r="M35">
            <v>0.9823624595469256</v>
          </cell>
          <cell r="N35">
            <v>12377.766990291262</v>
          </cell>
        </row>
        <row r="36">
          <cell r="A36">
            <v>2003</v>
          </cell>
          <cell r="B36">
            <v>1</v>
          </cell>
          <cell r="C36">
            <v>1</v>
          </cell>
          <cell r="D36">
            <v>0</v>
          </cell>
          <cell r="E36">
            <v>1</v>
          </cell>
          <cell r="F36" t="str">
            <v>TJS</v>
          </cell>
          <cell r="G36">
            <v>0</v>
          </cell>
          <cell r="H36">
            <v>196402</v>
          </cell>
          <cell r="I36">
            <v>21</v>
          </cell>
          <cell r="J36" t="str">
            <v>АКБ "Ганчина"</v>
          </cell>
          <cell r="K36">
            <v>0</v>
          </cell>
          <cell r="L36">
            <v>196402</v>
          </cell>
          <cell r="M36">
            <v>1</v>
          </cell>
          <cell r="N36">
            <v>0</v>
          </cell>
        </row>
        <row r="37">
          <cell r="A37">
            <v>2003</v>
          </cell>
          <cell r="B37">
            <v>1</v>
          </cell>
          <cell r="C37">
            <v>1</v>
          </cell>
          <cell r="D37">
            <v>0</v>
          </cell>
          <cell r="E37">
            <v>2</v>
          </cell>
          <cell r="F37" t="str">
            <v>TJS</v>
          </cell>
          <cell r="G37">
            <v>0</v>
          </cell>
          <cell r="H37">
            <v>325</v>
          </cell>
          <cell r="I37">
            <v>2</v>
          </cell>
          <cell r="J37" t="str">
            <v>АКБ "Ганчина"</v>
          </cell>
          <cell r="K37">
            <v>0</v>
          </cell>
          <cell r="L37">
            <v>325</v>
          </cell>
          <cell r="M37">
            <v>1</v>
          </cell>
          <cell r="N37">
            <v>0</v>
          </cell>
        </row>
        <row r="38">
          <cell r="A38">
            <v>2003</v>
          </cell>
          <cell r="B38">
            <v>1</v>
          </cell>
          <cell r="C38">
            <v>1</v>
          </cell>
          <cell r="D38">
            <v>0</v>
          </cell>
          <cell r="E38">
            <v>1</v>
          </cell>
          <cell r="F38" t="str">
            <v>RUR</v>
          </cell>
          <cell r="G38">
            <v>0</v>
          </cell>
          <cell r="H38">
            <v>193185</v>
          </cell>
          <cell r="I38">
            <v>9</v>
          </cell>
          <cell r="J38" t="str">
            <v>АКБ "Эсхата"</v>
          </cell>
          <cell r="K38">
            <v>0</v>
          </cell>
          <cell r="L38">
            <v>181237.9579195753</v>
          </cell>
          <cell r="M38">
            <v>0.9381575066365158</v>
          </cell>
          <cell r="N38">
            <v>0</v>
          </cell>
        </row>
        <row r="39">
          <cell r="A39">
            <v>2003</v>
          </cell>
          <cell r="B39">
            <v>1</v>
          </cell>
          <cell r="C39">
            <v>2</v>
          </cell>
          <cell r="D39">
            <v>360</v>
          </cell>
          <cell r="E39">
            <v>2</v>
          </cell>
          <cell r="F39" t="str">
            <v>TJS</v>
          </cell>
          <cell r="G39">
            <v>24</v>
          </cell>
          <cell r="H39">
            <v>1100</v>
          </cell>
          <cell r="I39">
            <v>2</v>
          </cell>
          <cell r="J39" t="str">
            <v>АКБ "Эсхата"</v>
          </cell>
          <cell r="K39">
            <v>26400</v>
          </cell>
          <cell r="L39">
            <v>1100</v>
          </cell>
          <cell r="M39">
            <v>1</v>
          </cell>
          <cell r="N39">
            <v>26400</v>
          </cell>
        </row>
        <row r="40">
          <cell r="A40">
            <v>2003</v>
          </cell>
          <cell r="B40">
            <v>1</v>
          </cell>
          <cell r="C40">
            <v>2</v>
          </cell>
          <cell r="D40">
            <v>180</v>
          </cell>
          <cell r="E40">
            <v>2</v>
          </cell>
          <cell r="F40" t="str">
            <v>TJS</v>
          </cell>
          <cell r="G40">
            <v>24</v>
          </cell>
          <cell r="H40">
            <v>550</v>
          </cell>
          <cell r="I40">
            <v>1</v>
          </cell>
          <cell r="J40" t="str">
            <v>АКБ "Эсхата"</v>
          </cell>
          <cell r="K40">
            <v>13200</v>
          </cell>
          <cell r="L40">
            <v>550</v>
          </cell>
          <cell r="M40">
            <v>1</v>
          </cell>
          <cell r="N40">
            <v>13200</v>
          </cell>
        </row>
        <row r="41">
          <cell r="A41">
            <v>2003</v>
          </cell>
          <cell r="B41">
            <v>1</v>
          </cell>
          <cell r="C41">
            <v>1</v>
          </cell>
          <cell r="D41">
            <v>0</v>
          </cell>
          <cell r="E41">
            <v>1</v>
          </cell>
          <cell r="F41" t="str">
            <v>TJS</v>
          </cell>
          <cell r="G41">
            <v>0</v>
          </cell>
          <cell r="H41">
            <v>9764821</v>
          </cell>
          <cell r="I41">
            <v>208</v>
          </cell>
          <cell r="J41" t="str">
            <v>АКБ "Эсхата"</v>
          </cell>
          <cell r="K41">
            <v>0</v>
          </cell>
          <cell r="L41">
            <v>9764821</v>
          </cell>
          <cell r="M41">
            <v>1</v>
          </cell>
          <cell r="N41">
            <v>0</v>
          </cell>
        </row>
        <row r="42">
          <cell r="A42">
            <v>2003</v>
          </cell>
          <cell r="B42">
            <v>1</v>
          </cell>
          <cell r="C42">
            <v>1</v>
          </cell>
          <cell r="D42">
            <v>0</v>
          </cell>
          <cell r="E42">
            <v>2</v>
          </cell>
          <cell r="F42" t="str">
            <v>TJS</v>
          </cell>
          <cell r="G42">
            <v>0</v>
          </cell>
          <cell r="H42">
            <v>1667642</v>
          </cell>
          <cell r="I42">
            <v>31</v>
          </cell>
          <cell r="J42" t="str">
            <v>АКБ "Эсхата"</v>
          </cell>
          <cell r="K42">
            <v>0</v>
          </cell>
          <cell r="L42">
            <v>1667642</v>
          </cell>
          <cell r="M42">
            <v>1</v>
          </cell>
          <cell r="N42">
            <v>0</v>
          </cell>
        </row>
        <row r="43">
          <cell r="A43">
            <v>2003</v>
          </cell>
          <cell r="B43">
            <v>1</v>
          </cell>
          <cell r="C43">
            <v>2</v>
          </cell>
          <cell r="D43">
            <v>300</v>
          </cell>
          <cell r="E43">
            <v>2</v>
          </cell>
          <cell r="F43" t="str">
            <v>USD</v>
          </cell>
          <cell r="G43">
            <v>15</v>
          </cell>
          <cell r="H43">
            <v>1214</v>
          </cell>
          <cell r="I43">
            <v>1</v>
          </cell>
          <cell r="J43" t="str">
            <v>АКБ "Эсхата"</v>
          </cell>
          <cell r="K43">
            <v>18210</v>
          </cell>
          <cell r="L43">
            <v>1192.5880258899676</v>
          </cell>
          <cell r="M43">
            <v>0.9823624595469256</v>
          </cell>
          <cell r="N43">
            <v>17888.820388349515</v>
          </cell>
        </row>
        <row r="44">
          <cell r="A44">
            <v>2003</v>
          </cell>
          <cell r="B44">
            <v>1</v>
          </cell>
          <cell r="C44">
            <v>2</v>
          </cell>
          <cell r="D44">
            <v>570</v>
          </cell>
          <cell r="E44">
            <v>2</v>
          </cell>
          <cell r="F44" t="str">
            <v>USD</v>
          </cell>
          <cell r="G44">
            <v>15</v>
          </cell>
          <cell r="H44">
            <v>911</v>
          </cell>
          <cell r="I44">
            <v>1</v>
          </cell>
          <cell r="J44" t="str">
            <v>АКБ "Эсхата"</v>
          </cell>
          <cell r="K44">
            <v>13665</v>
          </cell>
          <cell r="L44">
            <v>894.9322006472493</v>
          </cell>
          <cell r="M44">
            <v>0.9823624595469256</v>
          </cell>
          <cell r="N44">
            <v>13423.983009708738</v>
          </cell>
        </row>
        <row r="45">
          <cell r="A45">
            <v>2003</v>
          </cell>
          <cell r="B45">
            <v>1</v>
          </cell>
          <cell r="C45">
            <v>2</v>
          </cell>
          <cell r="D45">
            <v>450</v>
          </cell>
          <cell r="E45">
            <v>2</v>
          </cell>
          <cell r="F45" t="str">
            <v>USD</v>
          </cell>
          <cell r="G45">
            <v>15</v>
          </cell>
          <cell r="H45">
            <v>3127</v>
          </cell>
          <cell r="I45">
            <v>1</v>
          </cell>
          <cell r="J45" t="str">
            <v>АКБ "Эсхата"</v>
          </cell>
          <cell r="K45">
            <v>46905</v>
          </cell>
          <cell r="L45">
            <v>3071.847411003236</v>
          </cell>
          <cell r="M45">
            <v>0.9823624595469256</v>
          </cell>
          <cell r="N45">
            <v>46077.711165048546</v>
          </cell>
        </row>
        <row r="46">
          <cell r="A46">
            <v>2003</v>
          </cell>
          <cell r="B46">
            <v>1</v>
          </cell>
          <cell r="C46">
            <v>2</v>
          </cell>
          <cell r="D46">
            <v>210</v>
          </cell>
          <cell r="E46">
            <v>2</v>
          </cell>
          <cell r="F46" t="str">
            <v>USD</v>
          </cell>
          <cell r="G46">
            <v>12</v>
          </cell>
          <cell r="H46">
            <v>3643</v>
          </cell>
          <cell r="I46">
            <v>1</v>
          </cell>
          <cell r="J46" t="str">
            <v>АКБ "Эсхата"</v>
          </cell>
          <cell r="K46">
            <v>43716</v>
          </cell>
          <cell r="L46">
            <v>3578.74644012945</v>
          </cell>
          <cell r="M46">
            <v>0.9823624595469256</v>
          </cell>
          <cell r="N46">
            <v>42944.9572815534</v>
          </cell>
        </row>
        <row r="47">
          <cell r="A47">
            <v>2003</v>
          </cell>
          <cell r="B47">
            <v>1</v>
          </cell>
          <cell r="C47">
            <v>2</v>
          </cell>
          <cell r="D47">
            <v>270</v>
          </cell>
          <cell r="E47">
            <v>2</v>
          </cell>
          <cell r="F47" t="str">
            <v>USD</v>
          </cell>
          <cell r="G47">
            <v>15</v>
          </cell>
          <cell r="H47">
            <v>1214</v>
          </cell>
          <cell r="I47">
            <v>1</v>
          </cell>
          <cell r="J47" t="str">
            <v>АКБ "Эсхата"</v>
          </cell>
          <cell r="K47">
            <v>18210</v>
          </cell>
          <cell r="L47">
            <v>1192.5880258899676</v>
          </cell>
          <cell r="M47">
            <v>0.9823624595469256</v>
          </cell>
          <cell r="N47">
            <v>17888.820388349515</v>
          </cell>
        </row>
        <row r="48">
          <cell r="A48">
            <v>2003</v>
          </cell>
          <cell r="B48">
            <v>1</v>
          </cell>
          <cell r="C48">
            <v>2</v>
          </cell>
          <cell r="D48">
            <v>360</v>
          </cell>
          <cell r="E48">
            <v>2</v>
          </cell>
          <cell r="F48" t="str">
            <v>USD</v>
          </cell>
          <cell r="G48">
            <v>15</v>
          </cell>
          <cell r="H48">
            <v>18213</v>
          </cell>
          <cell r="I48">
            <v>2</v>
          </cell>
          <cell r="J48" t="str">
            <v>АКБ "Эсхата"</v>
          </cell>
          <cell r="K48">
            <v>273195</v>
          </cell>
          <cell r="L48">
            <v>17891.767475728157</v>
          </cell>
          <cell r="M48">
            <v>0.9823624595469256</v>
          </cell>
          <cell r="N48">
            <v>268376.5121359223</v>
          </cell>
        </row>
        <row r="49">
          <cell r="A49">
            <v>2003</v>
          </cell>
          <cell r="B49">
            <v>1</v>
          </cell>
          <cell r="C49">
            <v>2</v>
          </cell>
          <cell r="D49">
            <v>150</v>
          </cell>
          <cell r="E49">
            <v>2</v>
          </cell>
          <cell r="F49" t="str">
            <v>USD</v>
          </cell>
          <cell r="G49">
            <v>12</v>
          </cell>
          <cell r="H49">
            <v>3036</v>
          </cell>
          <cell r="I49">
            <v>1</v>
          </cell>
          <cell r="J49" t="str">
            <v>АКБ "Эсхата"</v>
          </cell>
          <cell r="K49">
            <v>36432</v>
          </cell>
          <cell r="L49">
            <v>2982.452427184466</v>
          </cell>
          <cell r="M49">
            <v>0.9823624595469256</v>
          </cell>
          <cell r="N49">
            <v>35789.429126213596</v>
          </cell>
        </row>
        <row r="50">
          <cell r="A50">
            <v>2003</v>
          </cell>
          <cell r="B50">
            <v>1</v>
          </cell>
          <cell r="C50">
            <v>2</v>
          </cell>
          <cell r="D50">
            <v>420</v>
          </cell>
          <cell r="E50">
            <v>2</v>
          </cell>
          <cell r="F50" t="str">
            <v>USD</v>
          </cell>
          <cell r="G50">
            <v>15</v>
          </cell>
          <cell r="H50">
            <v>6071</v>
          </cell>
          <cell r="I50">
            <v>1</v>
          </cell>
          <cell r="J50" t="str">
            <v>АКБ "Эсхата"</v>
          </cell>
          <cell r="K50">
            <v>91065</v>
          </cell>
          <cell r="L50">
            <v>5963.922491909385</v>
          </cell>
          <cell r="M50">
            <v>0.9823624595469256</v>
          </cell>
          <cell r="N50">
            <v>89458.83737864078</v>
          </cell>
        </row>
        <row r="51">
          <cell r="A51">
            <v>2003</v>
          </cell>
          <cell r="B51">
            <v>1</v>
          </cell>
          <cell r="C51">
            <v>2</v>
          </cell>
          <cell r="D51">
            <v>360</v>
          </cell>
          <cell r="E51">
            <v>2</v>
          </cell>
          <cell r="F51" t="str">
            <v>USD</v>
          </cell>
          <cell r="G51">
            <v>13</v>
          </cell>
          <cell r="H51">
            <v>1821</v>
          </cell>
          <cell r="I51">
            <v>1</v>
          </cell>
          <cell r="J51" t="str">
            <v>АКБ "Эсхата"</v>
          </cell>
          <cell r="K51">
            <v>23673</v>
          </cell>
          <cell r="L51">
            <v>1788.8820388349516</v>
          </cell>
          <cell r="M51">
            <v>0.9823624595469256</v>
          </cell>
          <cell r="N51">
            <v>23255.46650485437</v>
          </cell>
        </row>
        <row r="52">
          <cell r="A52">
            <v>2003</v>
          </cell>
          <cell r="B52">
            <v>1</v>
          </cell>
          <cell r="C52">
            <v>1</v>
          </cell>
          <cell r="D52">
            <v>0</v>
          </cell>
          <cell r="E52">
            <v>1</v>
          </cell>
          <cell r="F52" t="str">
            <v>USD</v>
          </cell>
          <cell r="G52">
            <v>0</v>
          </cell>
          <cell r="H52">
            <v>5508547</v>
          </cell>
          <cell r="I52">
            <v>34</v>
          </cell>
          <cell r="J52" t="str">
            <v>АКБ "Эсхата"</v>
          </cell>
          <cell r="K52">
            <v>0</v>
          </cell>
          <cell r="L52">
            <v>5411389.779449838</v>
          </cell>
          <cell r="M52">
            <v>0.9823624595469256</v>
          </cell>
          <cell r="N52">
            <v>0</v>
          </cell>
        </row>
        <row r="53">
          <cell r="A53">
            <v>2003</v>
          </cell>
          <cell r="B53">
            <v>1</v>
          </cell>
          <cell r="C53">
            <v>1</v>
          </cell>
          <cell r="D53">
            <v>0</v>
          </cell>
          <cell r="E53">
            <v>2</v>
          </cell>
          <cell r="F53" t="str">
            <v>USD</v>
          </cell>
          <cell r="G53">
            <v>0</v>
          </cell>
          <cell r="H53">
            <v>602847</v>
          </cell>
          <cell r="I53">
            <v>3</v>
          </cell>
          <cell r="J53" t="str">
            <v>АКБ "Эсхата"</v>
          </cell>
          <cell r="K53">
            <v>0</v>
          </cell>
          <cell r="L53">
            <v>592214.2616504855</v>
          </cell>
          <cell r="M53">
            <v>0.9823624595469256</v>
          </cell>
          <cell r="N53">
            <v>0</v>
          </cell>
        </row>
        <row r="54">
          <cell r="A54">
            <v>2003</v>
          </cell>
          <cell r="B54">
            <v>1</v>
          </cell>
          <cell r="C54">
            <v>1</v>
          </cell>
          <cell r="D54">
            <v>0</v>
          </cell>
          <cell r="E54">
            <v>1</v>
          </cell>
          <cell r="F54" t="str">
            <v>TJS</v>
          </cell>
          <cell r="G54">
            <v>0.5</v>
          </cell>
          <cell r="H54">
            <v>2915079</v>
          </cell>
          <cell r="I54">
            <v>270</v>
          </cell>
          <cell r="J54" t="str">
            <v>АОЗТ "Кафолат"</v>
          </cell>
          <cell r="K54">
            <v>1457539.5</v>
          </cell>
          <cell r="L54">
            <v>2915079</v>
          </cell>
          <cell r="M54">
            <v>1</v>
          </cell>
          <cell r="N54">
            <v>1457539.5</v>
          </cell>
        </row>
        <row r="55">
          <cell r="A55">
            <v>2003</v>
          </cell>
          <cell r="B55">
            <v>1</v>
          </cell>
          <cell r="C55">
            <v>1</v>
          </cell>
          <cell r="D55">
            <v>0</v>
          </cell>
          <cell r="E55">
            <v>2</v>
          </cell>
          <cell r="F55" t="str">
            <v>TJS</v>
          </cell>
          <cell r="G55">
            <v>0.5</v>
          </cell>
          <cell r="H55">
            <v>64152</v>
          </cell>
          <cell r="I55">
            <v>7</v>
          </cell>
          <cell r="J55" t="str">
            <v>АОЗТ "Кафолат"</v>
          </cell>
          <cell r="K55">
            <v>32076</v>
          </cell>
          <cell r="L55">
            <v>64152</v>
          </cell>
          <cell r="M55">
            <v>1</v>
          </cell>
          <cell r="N55">
            <v>32076</v>
          </cell>
        </row>
        <row r="56">
          <cell r="A56">
            <v>2003</v>
          </cell>
          <cell r="B56">
            <v>1</v>
          </cell>
          <cell r="C56">
            <v>2</v>
          </cell>
          <cell r="D56">
            <v>90</v>
          </cell>
          <cell r="E56">
            <v>1</v>
          </cell>
          <cell r="F56" t="str">
            <v>TJS</v>
          </cell>
          <cell r="G56">
            <v>20</v>
          </cell>
          <cell r="H56">
            <v>27085</v>
          </cell>
          <cell r="I56">
            <v>9</v>
          </cell>
          <cell r="J56" t="str">
            <v>АОЗТ "Кафолат"</v>
          </cell>
          <cell r="K56">
            <v>541700</v>
          </cell>
          <cell r="L56">
            <v>27085</v>
          </cell>
          <cell r="M56">
            <v>1</v>
          </cell>
          <cell r="N56">
            <v>541700</v>
          </cell>
        </row>
        <row r="57">
          <cell r="A57">
            <v>2003</v>
          </cell>
          <cell r="B57">
            <v>1</v>
          </cell>
          <cell r="C57">
            <v>2</v>
          </cell>
          <cell r="D57">
            <v>180</v>
          </cell>
          <cell r="E57">
            <v>2</v>
          </cell>
          <cell r="F57" t="str">
            <v>TJS</v>
          </cell>
          <cell r="G57">
            <v>18</v>
          </cell>
          <cell r="H57">
            <v>1582</v>
          </cell>
          <cell r="I57">
            <v>2</v>
          </cell>
          <cell r="J57" t="str">
            <v>АОЗТ "Кафолат"</v>
          </cell>
          <cell r="K57">
            <v>28476</v>
          </cell>
          <cell r="L57">
            <v>1582</v>
          </cell>
          <cell r="M57">
            <v>1</v>
          </cell>
          <cell r="N57">
            <v>28476</v>
          </cell>
        </row>
        <row r="58">
          <cell r="A58">
            <v>2003</v>
          </cell>
          <cell r="B58">
            <v>1</v>
          </cell>
          <cell r="C58">
            <v>3</v>
          </cell>
          <cell r="D58">
            <v>0</v>
          </cell>
          <cell r="E58">
            <v>2</v>
          </cell>
          <cell r="F58" t="str">
            <v>TJS</v>
          </cell>
          <cell r="G58">
            <v>0.5</v>
          </cell>
          <cell r="H58">
            <v>32139</v>
          </cell>
          <cell r="I58">
            <v>38</v>
          </cell>
          <cell r="J58" t="str">
            <v>АОЗТ "Кафолат"</v>
          </cell>
          <cell r="K58">
            <v>16069.5</v>
          </cell>
          <cell r="L58">
            <v>32139</v>
          </cell>
          <cell r="M58">
            <v>1</v>
          </cell>
          <cell r="N58">
            <v>16069.5</v>
          </cell>
        </row>
        <row r="59">
          <cell r="A59">
            <v>2003</v>
          </cell>
          <cell r="B59">
            <v>1</v>
          </cell>
          <cell r="C59">
            <v>2</v>
          </cell>
          <cell r="D59">
            <v>90</v>
          </cell>
          <cell r="E59">
            <v>2</v>
          </cell>
          <cell r="F59" t="str">
            <v>USD</v>
          </cell>
          <cell r="G59">
            <v>10</v>
          </cell>
          <cell r="H59">
            <v>3035.5</v>
          </cell>
          <cell r="I59">
            <v>1</v>
          </cell>
          <cell r="J59" t="str">
            <v>АОЗТ "Кафолат"</v>
          </cell>
          <cell r="K59">
            <v>30355</v>
          </cell>
          <cell r="L59">
            <v>2981.9612459546925</v>
          </cell>
          <cell r="M59">
            <v>0.9823624595469256</v>
          </cell>
          <cell r="N59">
            <v>29819.612459546926</v>
          </cell>
        </row>
        <row r="60">
          <cell r="A60">
            <v>2003</v>
          </cell>
          <cell r="B60">
            <v>1</v>
          </cell>
          <cell r="C60">
            <v>2</v>
          </cell>
          <cell r="D60">
            <v>360</v>
          </cell>
          <cell r="E60">
            <v>2</v>
          </cell>
          <cell r="F60" t="str">
            <v>USD</v>
          </cell>
          <cell r="G60">
            <v>20</v>
          </cell>
          <cell r="H60">
            <v>9106.5</v>
          </cell>
          <cell r="I60">
            <v>1</v>
          </cell>
          <cell r="J60" t="str">
            <v>АОЗТ "Кафолат"</v>
          </cell>
          <cell r="K60">
            <v>182130</v>
          </cell>
          <cell r="L60">
            <v>8945.883737864078</v>
          </cell>
          <cell r="M60">
            <v>0.9823624595469256</v>
          </cell>
          <cell r="N60">
            <v>178917.67475728155</v>
          </cell>
        </row>
        <row r="61">
          <cell r="A61">
            <v>2003</v>
          </cell>
          <cell r="B61">
            <v>1</v>
          </cell>
          <cell r="C61">
            <v>2</v>
          </cell>
          <cell r="D61">
            <v>90</v>
          </cell>
          <cell r="E61">
            <v>2</v>
          </cell>
          <cell r="F61" t="str">
            <v>USD</v>
          </cell>
          <cell r="G61">
            <v>18</v>
          </cell>
          <cell r="H61">
            <v>3202.45</v>
          </cell>
          <cell r="I61">
            <v>1</v>
          </cell>
          <cell r="J61" t="str">
            <v>АОЗТ "Кафолат"</v>
          </cell>
          <cell r="K61">
            <v>57644.1</v>
          </cell>
          <cell r="L61">
            <v>3145.9666585760515</v>
          </cell>
          <cell r="M61">
            <v>0.9823624595469256</v>
          </cell>
          <cell r="N61">
            <v>56627.39985436893</v>
          </cell>
        </row>
        <row r="62">
          <cell r="A62">
            <v>2003</v>
          </cell>
          <cell r="B62">
            <v>1</v>
          </cell>
          <cell r="C62">
            <v>2</v>
          </cell>
          <cell r="D62">
            <v>510</v>
          </cell>
          <cell r="E62">
            <v>2</v>
          </cell>
          <cell r="F62" t="str">
            <v>USD</v>
          </cell>
          <cell r="G62">
            <v>22</v>
          </cell>
          <cell r="H62">
            <v>9106.5</v>
          </cell>
          <cell r="I62">
            <v>1</v>
          </cell>
          <cell r="J62" t="str">
            <v>АОЗТ "Кафолат"</v>
          </cell>
          <cell r="K62">
            <v>200343</v>
          </cell>
          <cell r="L62">
            <v>8945.883737864078</v>
          </cell>
          <cell r="M62">
            <v>0.9823624595469256</v>
          </cell>
          <cell r="N62">
            <v>196809.4422330097</v>
          </cell>
        </row>
        <row r="63">
          <cell r="A63">
            <v>2003</v>
          </cell>
          <cell r="B63">
            <v>1</v>
          </cell>
          <cell r="C63">
            <v>2</v>
          </cell>
          <cell r="D63">
            <v>180</v>
          </cell>
          <cell r="E63">
            <v>2</v>
          </cell>
          <cell r="F63" t="str">
            <v>USD</v>
          </cell>
          <cell r="G63">
            <v>18</v>
          </cell>
          <cell r="H63">
            <v>6071</v>
          </cell>
          <cell r="I63">
            <v>1</v>
          </cell>
          <cell r="J63" t="str">
            <v>АОЗТ "Кафолат"</v>
          </cell>
          <cell r="K63">
            <v>109278</v>
          </cell>
          <cell r="L63">
            <v>5963.922491909385</v>
          </cell>
          <cell r="M63">
            <v>0.9823624595469256</v>
          </cell>
          <cell r="N63">
            <v>107350.60485436894</v>
          </cell>
        </row>
        <row r="64">
          <cell r="A64">
            <v>2003</v>
          </cell>
          <cell r="B64">
            <v>1</v>
          </cell>
          <cell r="C64">
            <v>2</v>
          </cell>
          <cell r="D64">
            <v>420</v>
          </cell>
          <cell r="E64">
            <v>2</v>
          </cell>
          <cell r="F64" t="str">
            <v>USD</v>
          </cell>
          <cell r="G64">
            <v>20</v>
          </cell>
          <cell r="H64">
            <v>4553.25</v>
          </cell>
          <cell r="I64">
            <v>1</v>
          </cell>
          <cell r="J64" t="str">
            <v>АОЗТ "Кафолат"</v>
          </cell>
          <cell r="K64">
            <v>91065</v>
          </cell>
          <cell r="L64">
            <v>4472.941868932039</v>
          </cell>
          <cell r="M64">
            <v>0.9823624595469256</v>
          </cell>
          <cell r="N64">
            <v>89458.83737864078</v>
          </cell>
        </row>
        <row r="65">
          <cell r="A65">
            <v>2003</v>
          </cell>
          <cell r="B65">
            <v>1</v>
          </cell>
          <cell r="C65">
            <v>2</v>
          </cell>
          <cell r="D65">
            <v>180</v>
          </cell>
          <cell r="E65">
            <v>2</v>
          </cell>
          <cell r="F65" t="str">
            <v>USD</v>
          </cell>
          <cell r="G65">
            <v>14</v>
          </cell>
          <cell r="H65">
            <v>13052.65</v>
          </cell>
          <cell r="I65">
            <v>1</v>
          </cell>
          <cell r="J65" t="str">
            <v>АОЗТ "Кафолат"</v>
          </cell>
          <cell r="K65">
            <v>182737.1</v>
          </cell>
          <cell r="L65">
            <v>12822.433357605178</v>
          </cell>
          <cell r="M65">
            <v>0.9823624595469256</v>
          </cell>
          <cell r="N65">
            <v>179514.0670064725</v>
          </cell>
        </row>
        <row r="66">
          <cell r="A66">
            <v>2003</v>
          </cell>
          <cell r="B66">
            <v>1</v>
          </cell>
          <cell r="C66">
            <v>2</v>
          </cell>
          <cell r="D66">
            <v>420</v>
          </cell>
          <cell r="E66">
            <v>2</v>
          </cell>
          <cell r="F66" t="str">
            <v>USD</v>
          </cell>
          <cell r="G66">
            <v>22</v>
          </cell>
          <cell r="H66">
            <v>1526.86</v>
          </cell>
          <cell r="I66">
            <v>1</v>
          </cell>
          <cell r="J66" t="str">
            <v>АОЗТ "Кафолат"</v>
          </cell>
          <cell r="K66">
            <v>33590.92</v>
          </cell>
          <cell r="L66">
            <v>1499.9299449838186</v>
          </cell>
          <cell r="M66">
            <v>0.9823624595469256</v>
          </cell>
          <cell r="N66">
            <v>32998.45878964401</v>
          </cell>
        </row>
        <row r="67">
          <cell r="A67">
            <v>2003</v>
          </cell>
          <cell r="B67">
            <v>1</v>
          </cell>
          <cell r="C67">
            <v>2</v>
          </cell>
          <cell r="D67">
            <v>360</v>
          </cell>
          <cell r="E67">
            <v>2</v>
          </cell>
          <cell r="F67" t="str">
            <v>USD</v>
          </cell>
          <cell r="G67">
            <v>24</v>
          </cell>
          <cell r="H67">
            <v>722.45</v>
          </cell>
          <cell r="I67">
            <v>1</v>
          </cell>
          <cell r="J67" t="str">
            <v>АОЗТ "Кафолат"</v>
          </cell>
          <cell r="K67">
            <v>17338.800000000003</v>
          </cell>
          <cell r="L67">
            <v>709.7077588996764</v>
          </cell>
          <cell r="M67">
            <v>0.9823624595469256</v>
          </cell>
          <cell r="N67">
            <v>17032.986213592238</v>
          </cell>
        </row>
        <row r="68">
          <cell r="A68">
            <v>2003</v>
          </cell>
          <cell r="B68">
            <v>1</v>
          </cell>
          <cell r="C68">
            <v>2</v>
          </cell>
          <cell r="D68">
            <v>360</v>
          </cell>
          <cell r="E68">
            <v>2</v>
          </cell>
          <cell r="F68" t="str">
            <v>USD</v>
          </cell>
          <cell r="G68">
            <v>30</v>
          </cell>
          <cell r="H68">
            <v>1702.92</v>
          </cell>
          <cell r="I68">
            <v>1</v>
          </cell>
          <cell r="J68" t="str">
            <v>АОЗТ "Кафолат"</v>
          </cell>
          <cell r="K68">
            <v>51087.600000000006</v>
          </cell>
          <cell r="L68">
            <v>1672.8846796116507</v>
          </cell>
          <cell r="M68">
            <v>0.9823624595469256</v>
          </cell>
          <cell r="N68">
            <v>50186.540388349524</v>
          </cell>
        </row>
        <row r="69">
          <cell r="A69">
            <v>2003</v>
          </cell>
          <cell r="B69">
            <v>1</v>
          </cell>
          <cell r="C69">
            <v>2</v>
          </cell>
          <cell r="D69">
            <v>360</v>
          </cell>
          <cell r="E69">
            <v>2</v>
          </cell>
          <cell r="F69" t="str">
            <v>USD</v>
          </cell>
          <cell r="G69">
            <v>18</v>
          </cell>
          <cell r="H69">
            <v>3035.5</v>
          </cell>
          <cell r="I69">
            <v>1</v>
          </cell>
          <cell r="J69" t="str">
            <v>АОЗТ "Кафолат"</v>
          </cell>
          <cell r="K69">
            <v>54639</v>
          </cell>
          <cell r="L69">
            <v>2981.9612459546925</v>
          </cell>
          <cell r="M69">
            <v>0.9823624595469256</v>
          </cell>
          <cell r="N69">
            <v>53675.30242718447</v>
          </cell>
        </row>
        <row r="70">
          <cell r="A70">
            <v>2003</v>
          </cell>
          <cell r="B70">
            <v>1</v>
          </cell>
          <cell r="C70">
            <v>2</v>
          </cell>
          <cell r="D70">
            <v>30</v>
          </cell>
          <cell r="E70">
            <v>2</v>
          </cell>
          <cell r="F70" t="str">
            <v>USD</v>
          </cell>
          <cell r="G70">
            <v>0.03</v>
          </cell>
          <cell r="H70">
            <v>30506.78</v>
          </cell>
          <cell r="I70">
            <v>2</v>
          </cell>
          <cell r="J70" t="str">
            <v>АОЗТ "Кафолат"</v>
          </cell>
          <cell r="K70">
            <v>915.2034</v>
          </cell>
          <cell r="L70">
            <v>29968.71543365696</v>
          </cell>
          <cell r="M70">
            <v>0.9823624595469256</v>
          </cell>
          <cell r="N70">
            <v>899.0614630097087</v>
          </cell>
        </row>
        <row r="71">
          <cell r="A71">
            <v>2003</v>
          </cell>
          <cell r="B71">
            <v>1</v>
          </cell>
          <cell r="C71">
            <v>3</v>
          </cell>
          <cell r="D71">
            <v>0</v>
          </cell>
          <cell r="E71">
            <v>2</v>
          </cell>
          <cell r="F71" t="str">
            <v>USD</v>
          </cell>
          <cell r="G71">
            <v>0</v>
          </cell>
          <cell r="H71">
            <v>59</v>
          </cell>
          <cell r="I71">
            <v>11</v>
          </cell>
          <cell r="J71" t="str">
            <v>АОЗТ "Кафолат"</v>
          </cell>
          <cell r="K71">
            <v>0</v>
          </cell>
          <cell r="L71">
            <v>57.95938511326861</v>
          </cell>
          <cell r="M71">
            <v>0.9823624595469256</v>
          </cell>
          <cell r="N71">
            <v>0</v>
          </cell>
        </row>
        <row r="72">
          <cell r="A72">
            <v>2003</v>
          </cell>
          <cell r="B72">
            <v>1</v>
          </cell>
          <cell r="C72">
            <v>1</v>
          </cell>
          <cell r="D72">
            <v>0</v>
          </cell>
          <cell r="E72">
            <v>2</v>
          </cell>
          <cell r="F72" t="str">
            <v>USD</v>
          </cell>
          <cell r="G72">
            <v>0</v>
          </cell>
          <cell r="H72">
            <v>2976198</v>
          </cell>
          <cell r="I72">
            <v>30</v>
          </cell>
          <cell r="J72" t="str">
            <v>АОЗТ "Кафолат"</v>
          </cell>
          <cell r="K72">
            <v>0</v>
          </cell>
          <cell r="L72">
            <v>2923705.1873786408</v>
          </cell>
          <cell r="M72">
            <v>0.9823624595469256</v>
          </cell>
          <cell r="N72">
            <v>0</v>
          </cell>
        </row>
        <row r="73">
          <cell r="A73">
            <v>2003</v>
          </cell>
          <cell r="B73">
            <v>1</v>
          </cell>
          <cell r="C73">
            <v>1</v>
          </cell>
          <cell r="D73">
            <v>0</v>
          </cell>
          <cell r="E73">
            <v>1</v>
          </cell>
          <cell r="F73" t="str">
            <v>TJS</v>
          </cell>
          <cell r="G73">
            <v>0</v>
          </cell>
          <cell r="H73">
            <v>149497</v>
          </cell>
          <cell r="I73">
            <v>7</v>
          </cell>
          <cell r="J73" t="str">
            <v>АОЗТ "Олимп"</v>
          </cell>
          <cell r="K73">
            <v>0</v>
          </cell>
          <cell r="L73">
            <v>149497</v>
          </cell>
          <cell r="M73">
            <v>1</v>
          </cell>
          <cell r="N73">
            <v>0</v>
          </cell>
        </row>
        <row r="74">
          <cell r="A74">
            <v>2003</v>
          </cell>
          <cell r="B74">
            <v>1</v>
          </cell>
          <cell r="C74">
            <v>3</v>
          </cell>
          <cell r="D74">
            <v>0</v>
          </cell>
          <cell r="E74">
            <v>2</v>
          </cell>
          <cell r="F74" t="str">
            <v>TJS</v>
          </cell>
          <cell r="G74">
            <v>2</v>
          </cell>
          <cell r="H74">
            <v>1055</v>
          </cell>
          <cell r="I74">
            <v>21</v>
          </cell>
          <cell r="J74" t="str">
            <v>АОЗТ "Олимп"</v>
          </cell>
          <cell r="K74">
            <v>2110</v>
          </cell>
          <cell r="L74">
            <v>1055</v>
          </cell>
          <cell r="M74">
            <v>1</v>
          </cell>
          <cell r="N74">
            <v>2110</v>
          </cell>
        </row>
        <row r="75">
          <cell r="A75">
            <v>2003</v>
          </cell>
          <cell r="B75">
            <v>1</v>
          </cell>
          <cell r="C75">
            <v>2</v>
          </cell>
          <cell r="D75">
            <v>1080</v>
          </cell>
          <cell r="E75">
            <v>2</v>
          </cell>
          <cell r="F75" t="str">
            <v>USD</v>
          </cell>
          <cell r="G75">
            <v>28</v>
          </cell>
          <cell r="H75">
            <v>45552</v>
          </cell>
          <cell r="I75">
            <v>1</v>
          </cell>
          <cell r="J75" t="str">
            <v>АОЗТ "Олимп"</v>
          </cell>
          <cell r="K75">
            <v>1275456</v>
          </cell>
          <cell r="L75">
            <v>44748.57475728155</v>
          </cell>
          <cell r="M75">
            <v>0.9823624595469256</v>
          </cell>
          <cell r="N75">
            <v>1252960.0932038836</v>
          </cell>
        </row>
        <row r="76">
          <cell r="A76">
            <v>2003</v>
          </cell>
          <cell r="B76">
            <v>1</v>
          </cell>
          <cell r="C76">
            <v>2</v>
          </cell>
          <cell r="D76">
            <v>360</v>
          </cell>
          <cell r="E76">
            <v>2</v>
          </cell>
          <cell r="F76" t="str">
            <v>USD</v>
          </cell>
          <cell r="G76">
            <v>24</v>
          </cell>
          <cell r="H76">
            <v>1451</v>
          </cell>
          <cell r="I76">
            <v>1</v>
          </cell>
          <cell r="J76" t="str">
            <v>АОЗТ "Олимп"</v>
          </cell>
          <cell r="K76">
            <v>34824</v>
          </cell>
          <cell r="L76">
            <v>1425.407928802589</v>
          </cell>
          <cell r="M76">
            <v>0.9823624595469256</v>
          </cell>
          <cell r="N76">
            <v>34209.790291262136</v>
          </cell>
        </row>
        <row r="77">
          <cell r="A77">
            <v>2003</v>
          </cell>
          <cell r="B77">
            <v>1</v>
          </cell>
          <cell r="C77">
            <v>2</v>
          </cell>
          <cell r="D77">
            <v>180</v>
          </cell>
          <cell r="E77">
            <v>2</v>
          </cell>
          <cell r="F77" t="str">
            <v>USD</v>
          </cell>
          <cell r="G77">
            <v>18</v>
          </cell>
          <cell r="H77">
            <v>6282</v>
          </cell>
          <cell r="I77">
            <v>1</v>
          </cell>
          <cell r="J77" t="str">
            <v>АОЗТ "Олимп"</v>
          </cell>
          <cell r="K77">
            <v>113076</v>
          </cell>
          <cell r="L77">
            <v>6171.200970873787</v>
          </cell>
          <cell r="M77">
            <v>0.9823624595469256</v>
          </cell>
          <cell r="N77">
            <v>111081.61747572816</v>
          </cell>
        </row>
        <row r="78">
          <cell r="A78">
            <v>2003</v>
          </cell>
          <cell r="B78">
            <v>1</v>
          </cell>
          <cell r="C78">
            <v>1</v>
          </cell>
          <cell r="D78">
            <v>0</v>
          </cell>
          <cell r="E78">
            <v>1</v>
          </cell>
          <cell r="F78" t="str">
            <v>TJS</v>
          </cell>
          <cell r="G78">
            <v>0</v>
          </cell>
          <cell r="H78">
            <v>4626282</v>
          </cell>
          <cell r="I78">
            <v>16</v>
          </cell>
          <cell r="J78" t="str">
            <v>АООТ "Ходжент"</v>
          </cell>
          <cell r="K78">
            <v>0</v>
          </cell>
          <cell r="L78">
            <v>4626282</v>
          </cell>
          <cell r="M78">
            <v>1</v>
          </cell>
          <cell r="N78">
            <v>0</v>
          </cell>
        </row>
        <row r="79">
          <cell r="A79">
            <v>2003</v>
          </cell>
          <cell r="B79">
            <v>1</v>
          </cell>
          <cell r="C79">
            <v>1</v>
          </cell>
          <cell r="D79">
            <v>0</v>
          </cell>
          <cell r="E79">
            <v>1</v>
          </cell>
          <cell r="F79" t="str">
            <v>USD</v>
          </cell>
          <cell r="G79">
            <v>0</v>
          </cell>
          <cell r="H79">
            <v>5836584</v>
          </cell>
          <cell r="I79">
            <v>9</v>
          </cell>
          <cell r="J79" t="str">
            <v>АООТ "Ходжент"</v>
          </cell>
          <cell r="K79">
            <v>0</v>
          </cell>
          <cell r="L79">
            <v>5733641.013592233</v>
          </cell>
          <cell r="M79">
            <v>0.9823624595469256</v>
          </cell>
          <cell r="N79">
            <v>0</v>
          </cell>
        </row>
        <row r="80">
          <cell r="A80">
            <v>2003</v>
          </cell>
          <cell r="B80">
            <v>1</v>
          </cell>
          <cell r="C80">
            <v>2</v>
          </cell>
          <cell r="D80">
            <v>360</v>
          </cell>
          <cell r="E80">
            <v>2</v>
          </cell>
          <cell r="F80" t="str">
            <v>USD</v>
          </cell>
          <cell r="G80">
            <v>24</v>
          </cell>
          <cell r="H80">
            <v>43523</v>
          </cell>
          <cell r="I80">
            <v>2</v>
          </cell>
          <cell r="J80" t="str">
            <v>АООТ "Ходжент"</v>
          </cell>
          <cell r="K80">
            <v>1044552</v>
          </cell>
          <cell r="L80">
            <v>42755.36132686084</v>
          </cell>
          <cell r="M80">
            <v>0.9823624595469256</v>
          </cell>
          <cell r="N80">
            <v>1026128.6718446602</v>
          </cell>
        </row>
        <row r="81">
          <cell r="A81">
            <v>2003</v>
          </cell>
          <cell r="B81">
            <v>1</v>
          </cell>
          <cell r="C81">
            <v>1</v>
          </cell>
          <cell r="D81">
            <v>0</v>
          </cell>
          <cell r="E81">
            <v>1</v>
          </cell>
          <cell r="F81" t="str">
            <v>EURO</v>
          </cell>
          <cell r="G81">
            <v>0</v>
          </cell>
          <cell r="H81">
            <v>186876</v>
          </cell>
          <cell r="I81">
            <v>3</v>
          </cell>
          <cell r="J81" t="str">
            <v>ГАКБ "Точиксодиротбонк"</v>
          </cell>
          <cell r="K81">
            <v>0</v>
          </cell>
          <cell r="L81">
            <v>169164.13712188613</v>
          </cell>
          <cell r="M81">
            <v>0.9052213078291815</v>
          </cell>
          <cell r="N81">
            <v>0</v>
          </cell>
        </row>
        <row r="82">
          <cell r="A82">
            <v>2003</v>
          </cell>
          <cell r="B82">
            <v>1</v>
          </cell>
          <cell r="C82">
            <v>1</v>
          </cell>
          <cell r="D82">
            <v>0</v>
          </cell>
          <cell r="E82">
            <v>2</v>
          </cell>
          <cell r="F82" t="str">
            <v>EURO</v>
          </cell>
          <cell r="G82">
            <v>0</v>
          </cell>
          <cell r="H82">
            <v>85</v>
          </cell>
          <cell r="I82">
            <v>20</v>
          </cell>
          <cell r="J82" t="str">
            <v>ГАКБ "Точиксодиротбонк"</v>
          </cell>
          <cell r="K82">
            <v>0</v>
          </cell>
          <cell r="L82">
            <v>76.94381116548043</v>
          </cell>
          <cell r="M82">
            <v>0.9052213078291815</v>
          </cell>
          <cell r="N82">
            <v>0</v>
          </cell>
        </row>
        <row r="83">
          <cell r="A83">
            <v>2003</v>
          </cell>
          <cell r="B83">
            <v>1</v>
          </cell>
          <cell r="C83">
            <v>1</v>
          </cell>
          <cell r="D83">
            <v>0</v>
          </cell>
          <cell r="E83">
            <v>1</v>
          </cell>
          <cell r="F83" t="str">
            <v>RUR</v>
          </cell>
          <cell r="G83">
            <v>0</v>
          </cell>
          <cell r="H83">
            <v>440077</v>
          </cell>
          <cell r="I83">
            <v>17</v>
          </cell>
          <cell r="J83" t="str">
            <v>ГАКБ "Точиксодиротбонк"</v>
          </cell>
          <cell r="K83">
            <v>0</v>
          </cell>
          <cell r="L83">
            <v>412861.5410480779</v>
          </cell>
          <cell r="M83">
            <v>0.9381575066365158</v>
          </cell>
          <cell r="N83">
            <v>0</v>
          </cell>
        </row>
        <row r="84">
          <cell r="A84">
            <v>2003</v>
          </cell>
          <cell r="B84">
            <v>1</v>
          </cell>
          <cell r="C84">
            <v>1</v>
          </cell>
          <cell r="D84">
            <v>0</v>
          </cell>
          <cell r="E84">
            <v>1</v>
          </cell>
          <cell r="F84" t="str">
            <v>TJS</v>
          </cell>
          <cell r="G84">
            <v>0</v>
          </cell>
          <cell r="H84">
            <v>18694968</v>
          </cell>
          <cell r="I84">
            <v>406</v>
          </cell>
          <cell r="J84" t="str">
            <v>ГАКБ "Точиксодиротбонк"</v>
          </cell>
          <cell r="K84">
            <v>0</v>
          </cell>
          <cell r="L84">
            <v>18694968</v>
          </cell>
          <cell r="M84">
            <v>1</v>
          </cell>
          <cell r="N84">
            <v>0</v>
          </cell>
        </row>
        <row r="85">
          <cell r="A85">
            <v>2003</v>
          </cell>
          <cell r="B85">
            <v>1</v>
          </cell>
          <cell r="C85">
            <v>1</v>
          </cell>
          <cell r="D85">
            <v>0</v>
          </cell>
          <cell r="E85">
            <v>2</v>
          </cell>
          <cell r="F85" t="str">
            <v>TJS</v>
          </cell>
          <cell r="G85">
            <v>0</v>
          </cell>
          <cell r="H85">
            <v>4064</v>
          </cell>
          <cell r="I85">
            <v>111</v>
          </cell>
          <cell r="J85" t="str">
            <v>ГАКБ "Точиксодиротбонк"</v>
          </cell>
          <cell r="K85">
            <v>0</v>
          </cell>
          <cell r="L85">
            <v>4064</v>
          </cell>
          <cell r="M85">
            <v>1</v>
          </cell>
          <cell r="N85">
            <v>0</v>
          </cell>
        </row>
        <row r="86">
          <cell r="A86">
            <v>2003</v>
          </cell>
          <cell r="B86">
            <v>1</v>
          </cell>
          <cell r="C86">
            <v>2</v>
          </cell>
          <cell r="D86">
            <v>90</v>
          </cell>
          <cell r="E86">
            <v>1</v>
          </cell>
          <cell r="F86" t="str">
            <v>TJS</v>
          </cell>
          <cell r="G86">
            <v>12</v>
          </cell>
          <cell r="H86">
            <v>50000</v>
          </cell>
          <cell r="I86">
            <v>1</v>
          </cell>
          <cell r="J86" t="str">
            <v>ГАКБ "Точиксодиротбонк"</v>
          </cell>
          <cell r="K86">
            <v>600000</v>
          </cell>
          <cell r="L86">
            <v>50000</v>
          </cell>
          <cell r="M86">
            <v>1</v>
          </cell>
          <cell r="N86">
            <v>600000</v>
          </cell>
        </row>
        <row r="87">
          <cell r="A87">
            <v>2003</v>
          </cell>
          <cell r="B87">
            <v>1</v>
          </cell>
          <cell r="C87">
            <v>2</v>
          </cell>
          <cell r="D87">
            <v>360</v>
          </cell>
          <cell r="E87">
            <v>1</v>
          </cell>
          <cell r="F87" t="str">
            <v>TJS</v>
          </cell>
          <cell r="G87">
            <v>12</v>
          </cell>
          <cell r="H87">
            <v>30000</v>
          </cell>
          <cell r="I87">
            <v>1</v>
          </cell>
          <cell r="J87" t="str">
            <v>ГАКБ "Точиксодиротбонк"</v>
          </cell>
          <cell r="K87">
            <v>360000</v>
          </cell>
          <cell r="L87">
            <v>30000</v>
          </cell>
          <cell r="M87">
            <v>1</v>
          </cell>
          <cell r="N87">
            <v>360000</v>
          </cell>
        </row>
        <row r="88">
          <cell r="A88">
            <v>2003</v>
          </cell>
          <cell r="B88">
            <v>1</v>
          </cell>
          <cell r="C88">
            <v>2</v>
          </cell>
          <cell r="D88">
            <v>360</v>
          </cell>
          <cell r="E88">
            <v>2</v>
          </cell>
          <cell r="F88" t="str">
            <v>TJS</v>
          </cell>
          <cell r="G88">
            <v>36</v>
          </cell>
          <cell r="H88">
            <v>740</v>
          </cell>
          <cell r="I88">
            <v>2</v>
          </cell>
          <cell r="J88" t="str">
            <v>ГАКБ "Точиксодиротбонк"</v>
          </cell>
          <cell r="K88">
            <v>26640</v>
          </cell>
          <cell r="L88">
            <v>740</v>
          </cell>
          <cell r="M88">
            <v>1</v>
          </cell>
          <cell r="N88">
            <v>26640</v>
          </cell>
        </row>
        <row r="89">
          <cell r="A89">
            <v>2003</v>
          </cell>
          <cell r="B89">
            <v>1</v>
          </cell>
          <cell r="C89">
            <v>2</v>
          </cell>
          <cell r="D89">
            <v>360</v>
          </cell>
          <cell r="E89">
            <v>2</v>
          </cell>
          <cell r="F89" t="str">
            <v>TJS</v>
          </cell>
          <cell r="G89">
            <v>10</v>
          </cell>
          <cell r="H89">
            <v>249</v>
          </cell>
          <cell r="I89">
            <v>3</v>
          </cell>
          <cell r="J89" t="str">
            <v>ГАКБ "Точиксодиротбонк"</v>
          </cell>
          <cell r="K89">
            <v>2490</v>
          </cell>
          <cell r="L89">
            <v>249</v>
          </cell>
          <cell r="M89">
            <v>1</v>
          </cell>
          <cell r="N89">
            <v>2490</v>
          </cell>
        </row>
        <row r="90">
          <cell r="A90">
            <v>2003</v>
          </cell>
          <cell r="B90">
            <v>1</v>
          </cell>
          <cell r="C90">
            <v>2</v>
          </cell>
          <cell r="D90">
            <v>360</v>
          </cell>
          <cell r="E90">
            <v>2</v>
          </cell>
          <cell r="F90" t="str">
            <v>TJS</v>
          </cell>
          <cell r="G90">
            <v>22</v>
          </cell>
          <cell r="H90">
            <v>4087</v>
          </cell>
          <cell r="I90">
            <v>3</v>
          </cell>
          <cell r="J90" t="str">
            <v>ГАКБ "Точиксодиротбонк"</v>
          </cell>
          <cell r="K90">
            <v>89914</v>
          </cell>
          <cell r="L90">
            <v>4087</v>
          </cell>
          <cell r="M90">
            <v>1</v>
          </cell>
          <cell r="N90">
            <v>89914</v>
          </cell>
        </row>
        <row r="91">
          <cell r="A91">
            <v>2003</v>
          </cell>
          <cell r="B91">
            <v>1</v>
          </cell>
          <cell r="C91">
            <v>2</v>
          </cell>
          <cell r="D91">
            <v>601</v>
          </cell>
          <cell r="E91">
            <v>2</v>
          </cell>
          <cell r="F91" t="str">
            <v>TJS</v>
          </cell>
          <cell r="G91">
            <v>30</v>
          </cell>
          <cell r="H91">
            <v>12423</v>
          </cell>
          <cell r="I91">
            <v>14</v>
          </cell>
          <cell r="J91" t="str">
            <v>ГАКБ "Точиксодиротбонк"</v>
          </cell>
          <cell r="K91">
            <v>372690</v>
          </cell>
          <cell r="L91">
            <v>12423</v>
          </cell>
          <cell r="M91">
            <v>1</v>
          </cell>
          <cell r="N91">
            <v>372690</v>
          </cell>
        </row>
        <row r="92">
          <cell r="A92">
            <v>2003</v>
          </cell>
          <cell r="B92">
            <v>1</v>
          </cell>
          <cell r="C92">
            <v>3</v>
          </cell>
          <cell r="D92">
            <v>360</v>
          </cell>
          <cell r="E92">
            <v>2</v>
          </cell>
          <cell r="F92" t="str">
            <v>TJS</v>
          </cell>
          <cell r="G92">
            <v>25</v>
          </cell>
          <cell r="H92">
            <v>62</v>
          </cell>
          <cell r="I92">
            <v>4</v>
          </cell>
          <cell r="J92" t="str">
            <v>ГАКБ "Точиксодиротбонк"</v>
          </cell>
          <cell r="K92">
            <v>1550</v>
          </cell>
          <cell r="L92">
            <v>62</v>
          </cell>
          <cell r="M92">
            <v>1</v>
          </cell>
          <cell r="N92">
            <v>1550</v>
          </cell>
        </row>
        <row r="93">
          <cell r="A93">
            <v>2003</v>
          </cell>
          <cell r="B93">
            <v>1</v>
          </cell>
          <cell r="C93">
            <v>3</v>
          </cell>
          <cell r="D93">
            <v>360</v>
          </cell>
          <cell r="E93">
            <v>2</v>
          </cell>
          <cell r="F93" t="str">
            <v>TJS</v>
          </cell>
          <cell r="G93">
            <v>20</v>
          </cell>
          <cell r="H93">
            <v>11</v>
          </cell>
          <cell r="I93">
            <v>1</v>
          </cell>
          <cell r="J93" t="str">
            <v>ГАКБ "Точиксодиротбонк"</v>
          </cell>
          <cell r="K93">
            <v>220</v>
          </cell>
          <cell r="L93">
            <v>11</v>
          </cell>
          <cell r="M93">
            <v>1</v>
          </cell>
          <cell r="N93">
            <v>220</v>
          </cell>
        </row>
        <row r="94">
          <cell r="A94">
            <v>2003</v>
          </cell>
          <cell r="B94">
            <v>1</v>
          </cell>
          <cell r="C94">
            <v>1</v>
          </cell>
          <cell r="D94">
            <v>0</v>
          </cell>
          <cell r="E94">
            <v>1</v>
          </cell>
          <cell r="F94" t="str">
            <v>USD</v>
          </cell>
          <cell r="G94">
            <v>0</v>
          </cell>
          <cell r="H94">
            <v>17721975</v>
          </cell>
          <cell r="I94">
            <v>346</v>
          </cell>
          <cell r="J94" t="str">
            <v>ГАКБ "Точиксодиротбонк"</v>
          </cell>
          <cell r="K94">
            <v>0</v>
          </cell>
          <cell r="L94">
            <v>17409402.949029125</v>
          </cell>
          <cell r="M94">
            <v>0.9823624595469256</v>
          </cell>
          <cell r="N94">
            <v>0</v>
          </cell>
        </row>
        <row r="95">
          <cell r="A95">
            <v>2003</v>
          </cell>
          <cell r="B95">
            <v>1</v>
          </cell>
          <cell r="C95">
            <v>1</v>
          </cell>
          <cell r="D95">
            <v>0</v>
          </cell>
          <cell r="E95">
            <v>2</v>
          </cell>
          <cell r="F95" t="str">
            <v>USD</v>
          </cell>
          <cell r="G95">
            <v>0</v>
          </cell>
          <cell r="H95">
            <v>758506</v>
          </cell>
          <cell r="I95">
            <v>415</v>
          </cell>
          <cell r="J95" t="str">
            <v>ГАКБ "Точиксодиротбонк"</v>
          </cell>
          <cell r="K95">
            <v>0</v>
          </cell>
          <cell r="L95">
            <v>745127.8197411003</v>
          </cell>
          <cell r="M95">
            <v>0.9823624595469256</v>
          </cell>
          <cell r="N95">
            <v>0</v>
          </cell>
        </row>
        <row r="96">
          <cell r="A96">
            <v>2003</v>
          </cell>
          <cell r="B96">
            <v>1</v>
          </cell>
          <cell r="C96">
            <v>2</v>
          </cell>
          <cell r="D96">
            <v>30</v>
          </cell>
          <cell r="E96">
            <v>1</v>
          </cell>
          <cell r="F96" t="str">
            <v>USD</v>
          </cell>
          <cell r="G96">
            <v>18</v>
          </cell>
          <cell r="H96">
            <v>17750</v>
          </cell>
          <cell r="I96">
            <v>1</v>
          </cell>
          <cell r="J96" t="str">
            <v>ГАКБ "Точиксодиротбонк"</v>
          </cell>
          <cell r="K96">
            <v>319500</v>
          </cell>
          <cell r="L96">
            <v>17436.933656957928</v>
          </cell>
          <cell r="M96">
            <v>0.9823624595469256</v>
          </cell>
          <cell r="N96">
            <v>313864.8058252427</v>
          </cell>
        </row>
        <row r="97">
          <cell r="A97">
            <v>2003</v>
          </cell>
          <cell r="B97">
            <v>1</v>
          </cell>
          <cell r="C97">
            <v>2</v>
          </cell>
          <cell r="D97">
            <v>90</v>
          </cell>
          <cell r="E97">
            <v>1</v>
          </cell>
          <cell r="F97" t="str">
            <v>USD</v>
          </cell>
          <cell r="G97">
            <v>12</v>
          </cell>
          <cell r="H97">
            <v>96035</v>
          </cell>
          <cell r="I97">
            <v>3</v>
          </cell>
          <cell r="J97" t="str">
            <v>ГАКБ "Точиксодиротбонк"</v>
          </cell>
          <cell r="K97">
            <v>1152420</v>
          </cell>
          <cell r="L97">
            <v>94341.178802589</v>
          </cell>
          <cell r="M97">
            <v>0.9823624595469256</v>
          </cell>
          <cell r="N97">
            <v>1132094.145631068</v>
          </cell>
        </row>
        <row r="98">
          <cell r="A98">
            <v>2003</v>
          </cell>
          <cell r="B98">
            <v>1</v>
          </cell>
          <cell r="C98">
            <v>2</v>
          </cell>
          <cell r="D98">
            <v>1080</v>
          </cell>
          <cell r="E98">
            <v>2</v>
          </cell>
          <cell r="F98" t="str">
            <v>USD</v>
          </cell>
          <cell r="G98">
            <v>18</v>
          </cell>
          <cell r="H98">
            <v>36</v>
          </cell>
          <cell r="I98">
            <v>1</v>
          </cell>
          <cell r="J98" t="str">
            <v>ГАКБ "Точиксодиротбонк"</v>
          </cell>
          <cell r="K98">
            <v>648</v>
          </cell>
          <cell r="L98">
            <v>35.36504854368932</v>
          </cell>
          <cell r="M98">
            <v>0.9823624595469256</v>
          </cell>
          <cell r="N98">
            <v>636.5708737864078</v>
          </cell>
        </row>
        <row r="99">
          <cell r="A99">
            <v>2003</v>
          </cell>
          <cell r="B99">
            <v>1</v>
          </cell>
          <cell r="C99">
            <v>2</v>
          </cell>
          <cell r="D99">
            <v>1800</v>
          </cell>
          <cell r="E99">
            <v>2</v>
          </cell>
          <cell r="F99" t="str">
            <v>USD</v>
          </cell>
          <cell r="G99">
            <v>20</v>
          </cell>
          <cell r="H99">
            <v>355</v>
          </cell>
          <cell r="I99">
            <v>1</v>
          </cell>
          <cell r="J99" t="str">
            <v>ГАКБ "Точиксодиротбонк"</v>
          </cell>
          <cell r="K99">
            <v>7100</v>
          </cell>
          <cell r="L99">
            <v>348.7386731391586</v>
          </cell>
          <cell r="M99">
            <v>0.9823624595469256</v>
          </cell>
          <cell r="N99">
            <v>6974.773462783171</v>
          </cell>
        </row>
        <row r="100">
          <cell r="A100">
            <v>2003</v>
          </cell>
          <cell r="B100">
            <v>1</v>
          </cell>
          <cell r="C100">
            <v>2</v>
          </cell>
          <cell r="D100">
            <v>360</v>
          </cell>
          <cell r="E100">
            <v>1</v>
          </cell>
          <cell r="F100" t="str">
            <v>USD</v>
          </cell>
          <cell r="G100">
            <v>20</v>
          </cell>
          <cell r="H100">
            <v>154811</v>
          </cell>
          <cell r="I100">
            <v>1</v>
          </cell>
          <cell r="J100" t="str">
            <v>ГАКБ "Точиксодиротбонк"</v>
          </cell>
          <cell r="K100">
            <v>3096220</v>
          </cell>
          <cell r="L100">
            <v>152080.5147249191</v>
          </cell>
          <cell r="M100">
            <v>0.9823624595469256</v>
          </cell>
          <cell r="N100">
            <v>3041610.294498382</v>
          </cell>
        </row>
        <row r="101">
          <cell r="A101">
            <v>2003</v>
          </cell>
          <cell r="B101">
            <v>1</v>
          </cell>
          <cell r="C101">
            <v>2</v>
          </cell>
          <cell r="D101">
            <v>360</v>
          </cell>
          <cell r="E101">
            <v>2</v>
          </cell>
          <cell r="F101" t="str">
            <v>USD</v>
          </cell>
          <cell r="G101">
            <v>12</v>
          </cell>
          <cell r="H101">
            <v>8940</v>
          </cell>
          <cell r="I101">
            <v>2</v>
          </cell>
          <cell r="J101" t="str">
            <v>ГАКБ "Точиксодиротбонк"</v>
          </cell>
          <cell r="K101">
            <v>107280</v>
          </cell>
          <cell r="L101">
            <v>8782.320388349515</v>
          </cell>
          <cell r="M101">
            <v>0.9823624595469256</v>
          </cell>
          <cell r="N101">
            <v>105387.84466019418</v>
          </cell>
        </row>
        <row r="102">
          <cell r="A102">
            <v>2003</v>
          </cell>
          <cell r="B102">
            <v>1</v>
          </cell>
          <cell r="C102">
            <v>2</v>
          </cell>
          <cell r="D102">
            <v>360</v>
          </cell>
          <cell r="E102">
            <v>1</v>
          </cell>
          <cell r="F102" t="str">
            <v>USD</v>
          </cell>
          <cell r="G102">
            <v>18</v>
          </cell>
          <cell r="H102">
            <v>5325</v>
          </cell>
          <cell r="I102">
            <v>1</v>
          </cell>
          <cell r="J102" t="str">
            <v>ГАКБ "Точиксодиротбонк"</v>
          </cell>
          <cell r="K102">
            <v>95850</v>
          </cell>
          <cell r="L102">
            <v>5231.080097087379</v>
          </cell>
          <cell r="M102">
            <v>0.9823624595469256</v>
          </cell>
          <cell r="N102">
            <v>94159.44174757281</v>
          </cell>
        </row>
        <row r="103">
          <cell r="A103">
            <v>2003</v>
          </cell>
          <cell r="B103">
            <v>1</v>
          </cell>
          <cell r="C103">
            <v>2</v>
          </cell>
          <cell r="D103">
            <v>360</v>
          </cell>
          <cell r="E103">
            <v>2</v>
          </cell>
          <cell r="F103" t="str">
            <v>USD</v>
          </cell>
          <cell r="G103">
            <v>20</v>
          </cell>
          <cell r="H103">
            <v>246872</v>
          </cell>
          <cell r="I103">
            <v>6</v>
          </cell>
          <cell r="J103" t="str">
            <v>ГАКБ "Точиксодиротбонк"</v>
          </cell>
          <cell r="K103">
            <v>4937440</v>
          </cell>
          <cell r="L103">
            <v>242517.78511326862</v>
          </cell>
          <cell r="M103">
            <v>0.9823624595469256</v>
          </cell>
          <cell r="N103">
            <v>4850355.7022653725</v>
          </cell>
        </row>
        <row r="104">
          <cell r="A104">
            <v>2003</v>
          </cell>
          <cell r="B104">
            <v>1</v>
          </cell>
          <cell r="C104">
            <v>2</v>
          </cell>
          <cell r="D104">
            <v>360</v>
          </cell>
          <cell r="E104">
            <v>2</v>
          </cell>
          <cell r="F104" t="str">
            <v>USD</v>
          </cell>
          <cell r="G104">
            <v>18</v>
          </cell>
          <cell r="H104">
            <v>328946</v>
          </cell>
          <cell r="I104">
            <v>49</v>
          </cell>
          <cell r="J104" t="str">
            <v>ГАКБ "Точиксодиротбонк"</v>
          </cell>
          <cell r="K104">
            <v>5921028</v>
          </cell>
          <cell r="L104">
            <v>323144.201618123</v>
          </cell>
          <cell r="M104">
            <v>0.9823624595469256</v>
          </cell>
          <cell r="N104">
            <v>5816595.6291262135</v>
          </cell>
        </row>
        <row r="105">
          <cell r="A105">
            <v>2003</v>
          </cell>
          <cell r="B105">
            <v>1</v>
          </cell>
          <cell r="C105">
            <v>2</v>
          </cell>
          <cell r="D105">
            <v>360</v>
          </cell>
          <cell r="E105">
            <v>2</v>
          </cell>
          <cell r="F105" t="str">
            <v>USD</v>
          </cell>
          <cell r="G105">
            <v>15</v>
          </cell>
          <cell r="H105">
            <v>3317</v>
          </cell>
          <cell r="I105">
            <v>9</v>
          </cell>
          <cell r="J105" t="str">
            <v>ГАКБ "Точиксодиротбонк"</v>
          </cell>
          <cell r="K105">
            <v>49755</v>
          </cell>
          <cell r="L105">
            <v>3258.4962783171522</v>
          </cell>
          <cell r="M105">
            <v>0.9823624595469256</v>
          </cell>
          <cell r="N105">
            <v>48877.444174757286</v>
          </cell>
        </row>
        <row r="106">
          <cell r="A106">
            <v>2003</v>
          </cell>
          <cell r="B106">
            <v>1</v>
          </cell>
          <cell r="C106">
            <v>3</v>
          </cell>
          <cell r="D106">
            <v>360</v>
          </cell>
          <cell r="E106">
            <v>2</v>
          </cell>
          <cell r="F106" t="str">
            <v>USD</v>
          </cell>
          <cell r="G106">
            <v>20</v>
          </cell>
          <cell r="H106">
            <v>9465</v>
          </cell>
          <cell r="I106">
            <v>4</v>
          </cell>
          <cell r="J106" t="str">
            <v>ГАКБ "Точиксодиротбонк"</v>
          </cell>
          <cell r="K106">
            <v>189300</v>
          </cell>
          <cell r="L106">
            <v>9298.06067961165</v>
          </cell>
          <cell r="M106">
            <v>0.9823624595469256</v>
          </cell>
          <cell r="N106">
            <v>185961.21359223302</v>
          </cell>
        </row>
        <row r="107">
          <cell r="A107">
            <v>2003</v>
          </cell>
          <cell r="B107">
            <v>1</v>
          </cell>
          <cell r="C107">
            <v>2</v>
          </cell>
          <cell r="D107">
            <v>360</v>
          </cell>
          <cell r="E107">
            <v>2</v>
          </cell>
          <cell r="F107" t="str">
            <v>USD</v>
          </cell>
          <cell r="G107">
            <v>21</v>
          </cell>
          <cell r="H107">
            <v>1420</v>
          </cell>
          <cell r="I107">
            <v>1</v>
          </cell>
          <cell r="J107" t="str">
            <v>ГАКБ "Точиксодиротбонк"</v>
          </cell>
          <cell r="K107">
            <v>29820</v>
          </cell>
          <cell r="L107">
            <v>1394.9546925566344</v>
          </cell>
          <cell r="M107">
            <v>0.9823624595469256</v>
          </cell>
          <cell r="N107">
            <v>29294.04854368932</v>
          </cell>
        </row>
        <row r="108">
          <cell r="A108">
            <v>2003</v>
          </cell>
          <cell r="B108">
            <v>1</v>
          </cell>
          <cell r="C108">
            <v>3</v>
          </cell>
          <cell r="D108">
            <v>0</v>
          </cell>
          <cell r="E108">
            <v>2</v>
          </cell>
          <cell r="F108" t="str">
            <v>USD</v>
          </cell>
          <cell r="G108">
            <v>20</v>
          </cell>
          <cell r="H108">
            <v>2214</v>
          </cell>
          <cell r="I108">
            <v>1</v>
          </cell>
          <cell r="J108" t="str">
            <v>ГАКБ "Точиксодиротбонк"</v>
          </cell>
          <cell r="K108">
            <v>44280</v>
          </cell>
          <cell r="L108">
            <v>2174.9504854368934</v>
          </cell>
          <cell r="M108">
            <v>0.9823624595469256</v>
          </cell>
          <cell r="N108">
            <v>43499.00970873787</v>
          </cell>
        </row>
        <row r="109">
          <cell r="A109">
            <v>2003</v>
          </cell>
          <cell r="B109">
            <v>1</v>
          </cell>
          <cell r="C109">
            <v>2</v>
          </cell>
          <cell r="D109">
            <v>360</v>
          </cell>
          <cell r="E109">
            <v>1</v>
          </cell>
          <cell r="F109" t="str">
            <v>USD</v>
          </cell>
          <cell r="G109">
            <v>12</v>
          </cell>
          <cell r="H109">
            <v>3550</v>
          </cell>
          <cell r="I109">
            <v>1</v>
          </cell>
          <cell r="J109" t="str">
            <v>ГАКБ "Точиксодиротбонк"</v>
          </cell>
          <cell r="K109">
            <v>42600</v>
          </cell>
          <cell r="L109">
            <v>3487.3867313915857</v>
          </cell>
          <cell r="M109">
            <v>0.9823624595469256</v>
          </cell>
          <cell r="N109">
            <v>41848.64077669903</v>
          </cell>
        </row>
        <row r="110">
          <cell r="A110">
            <v>2003</v>
          </cell>
          <cell r="B110">
            <v>1</v>
          </cell>
          <cell r="C110">
            <v>2</v>
          </cell>
          <cell r="D110">
            <v>720</v>
          </cell>
          <cell r="E110">
            <v>2</v>
          </cell>
          <cell r="F110" t="str">
            <v>USD</v>
          </cell>
          <cell r="G110">
            <v>12</v>
          </cell>
          <cell r="H110">
            <v>213</v>
          </cell>
          <cell r="I110">
            <v>1</v>
          </cell>
          <cell r="J110" t="str">
            <v>ГАКБ "Точиксодиротбонк"</v>
          </cell>
          <cell r="K110">
            <v>2556</v>
          </cell>
          <cell r="L110">
            <v>209.24320388349514</v>
          </cell>
          <cell r="M110">
            <v>0.9823624595469256</v>
          </cell>
          <cell r="N110">
            <v>2510.918446601942</v>
          </cell>
        </row>
        <row r="111">
          <cell r="A111">
            <v>2003</v>
          </cell>
          <cell r="B111">
            <v>1</v>
          </cell>
          <cell r="C111">
            <v>2</v>
          </cell>
          <cell r="D111">
            <v>720</v>
          </cell>
          <cell r="E111">
            <v>2</v>
          </cell>
          <cell r="F111" t="str">
            <v>USD</v>
          </cell>
          <cell r="G111">
            <v>14</v>
          </cell>
          <cell r="H111">
            <v>710</v>
          </cell>
          <cell r="I111">
            <v>1</v>
          </cell>
          <cell r="J111" t="str">
            <v>ГАКБ "Точиксодиротбонк"</v>
          </cell>
          <cell r="K111">
            <v>9940</v>
          </cell>
          <cell r="L111">
            <v>697.4773462783172</v>
          </cell>
          <cell r="M111">
            <v>0.9823624595469256</v>
          </cell>
          <cell r="N111">
            <v>9764.68284789644</v>
          </cell>
        </row>
        <row r="112">
          <cell r="A112">
            <v>2003</v>
          </cell>
          <cell r="B112">
            <v>1</v>
          </cell>
          <cell r="C112">
            <v>2</v>
          </cell>
          <cell r="D112">
            <v>720</v>
          </cell>
          <cell r="E112">
            <v>2</v>
          </cell>
          <cell r="F112" t="str">
            <v>USD</v>
          </cell>
          <cell r="G112">
            <v>20</v>
          </cell>
          <cell r="H112">
            <v>30962</v>
          </cell>
          <cell r="I112">
            <v>2</v>
          </cell>
          <cell r="J112" t="str">
            <v>ГАКБ "Точиксодиротбонк"</v>
          </cell>
          <cell r="K112">
            <v>619240</v>
          </cell>
          <cell r="L112">
            <v>30415.906472491908</v>
          </cell>
          <cell r="M112">
            <v>0.9823624595469256</v>
          </cell>
          <cell r="N112">
            <v>608318.1294498382</v>
          </cell>
        </row>
        <row r="113">
          <cell r="A113">
            <v>2003</v>
          </cell>
          <cell r="B113">
            <v>1</v>
          </cell>
          <cell r="C113">
            <v>2</v>
          </cell>
          <cell r="D113">
            <v>720</v>
          </cell>
          <cell r="E113">
            <v>2</v>
          </cell>
          <cell r="F113" t="str">
            <v>USD</v>
          </cell>
          <cell r="G113">
            <v>21</v>
          </cell>
          <cell r="H113">
            <v>12216</v>
          </cell>
          <cell r="I113">
            <v>1</v>
          </cell>
          <cell r="J113" t="str">
            <v>ГАКБ "Точиксодиротбонк"</v>
          </cell>
          <cell r="K113">
            <v>256536</v>
          </cell>
          <cell r="L113">
            <v>12000.539805825243</v>
          </cell>
          <cell r="M113">
            <v>0.9823624595469256</v>
          </cell>
          <cell r="N113">
            <v>252011.3359223301</v>
          </cell>
        </row>
        <row r="114">
          <cell r="A114">
            <v>2003</v>
          </cell>
          <cell r="B114">
            <v>1</v>
          </cell>
          <cell r="C114">
            <v>2</v>
          </cell>
          <cell r="D114">
            <v>180</v>
          </cell>
          <cell r="E114">
            <v>2</v>
          </cell>
          <cell r="F114" t="str">
            <v>USD</v>
          </cell>
          <cell r="G114">
            <v>12</v>
          </cell>
          <cell r="H114">
            <v>633</v>
          </cell>
          <cell r="I114">
            <v>2</v>
          </cell>
          <cell r="J114" t="str">
            <v>ГАКБ "Точиксодиротбонк"</v>
          </cell>
          <cell r="K114">
            <v>7596</v>
          </cell>
          <cell r="L114">
            <v>621.8354368932039</v>
          </cell>
          <cell r="M114">
            <v>0.9823624595469256</v>
          </cell>
          <cell r="N114">
            <v>7462.025242718447</v>
          </cell>
        </row>
        <row r="115">
          <cell r="A115">
            <v>2003</v>
          </cell>
          <cell r="B115">
            <v>1</v>
          </cell>
          <cell r="C115">
            <v>2</v>
          </cell>
          <cell r="D115">
            <v>180</v>
          </cell>
          <cell r="E115">
            <v>2</v>
          </cell>
          <cell r="F115" t="str">
            <v>USD</v>
          </cell>
          <cell r="G115">
            <v>10</v>
          </cell>
          <cell r="H115">
            <v>1775</v>
          </cell>
          <cell r="I115">
            <v>1</v>
          </cell>
          <cell r="J115" t="str">
            <v>ГАКБ "Точиксодиротбонк"</v>
          </cell>
          <cell r="K115">
            <v>17750</v>
          </cell>
          <cell r="L115">
            <v>1743.6933656957929</v>
          </cell>
          <cell r="M115">
            <v>0.9823624595469256</v>
          </cell>
          <cell r="N115">
            <v>17436.933656957928</v>
          </cell>
        </row>
        <row r="116">
          <cell r="A116">
            <v>2003</v>
          </cell>
          <cell r="B116">
            <v>1</v>
          </cell>
          <cell r="C116">
            <v>2</v>
          </cell>
          <cell r="D116">
            <v>600</v>
          </cell>
          <cell r="E116">
            <v>2</v>
          </cell>
          <cell r="F116" t="str">
            <v>USD</v>
          </cell>
          <cell r="G116">
            <v>20</v>
          </cell>
          <cell r="H116">
            <v>53861</v>
          </cell>
          <cell r="I116">
            <v>38</v>
          </cell>
          <cell r="J116" t="str">
            <v>ГАКБ "Точиксодиротбонк"</v>
          </cell>
          <cell r="K116">
            <v>1077220</v>
          </cell>
          <cell r="L116">
            <v>52911.02443365696</v>
          </cell>
          <cell r="M116">
            <v>0.9823624595469256</v>
          </cell>
          <cell r="N116">
            <v>1058220.4886731391</v>
          </cell>
        </row>
        <row r="117">
          <cell r="A117">
            <v>2003</v>
          </cell>
          <cell r="B117">
            <v>1</v>
          </cell>
          <cell r="C117">
            <v>2</v>
          </cell>
          <cell r="D117">
            <v>360</v>
          </cell>
          <cell r="E117">
            <v>2</v>
          </cell>
          <cell r="F117" t="str">
            <v>USD</v>
          </cell>
          <cell r="G117">
            <v>6</v>
          </cell>
          <cell r="H117">
            <v>9</v>
          </cell>
          <cell r="I117">
            <v>2</v>
          </cell>
          <cell r="J117" t="str">
            <v>ГАКБ "Точиксодиротбонк"</v>
          </cell>
          <cell r="K117">
            <v>54</v>
          </cell>
          <cell r="L117">
            <v>8.84126213592233</v>
          </cell>
          <cell r="M117">
            <v>0.9823624595469256</v>
          </cell>
          <cell r="N117">
            <v>53.04757281553398</v>
          </cell>
        </row>
        <row r="118">
          <cell r="A118">
            <v>2003</v>
          </cell>
          <cell r="B118">
            <v>1</v>
          </cell>
          <cell r="C118">
            <v>2</v>
          </cell>
          <cell r="D118">
            <v>360</v>
          </cell>
          <cell r="E118">
            <v>2</v>
          </cell>
          <cell r="F118" t="str">
            <v>USD</v>
          </cell>
          <cell r="G118">
            <v>8</v>
          </cell>
          <cell r="H118">
            <v>99</v>
          </cell>
          <cell r="I118">
            <v>1</v>
          </cell>
          <cell r="J118" t="str">
            <v>ГАКБ "Точиксодиротбонк"</v>
          </cell>
          <cell r="K118">
            <v>792</v>
          </cell>
          <cell r="L118">
            <v>97.25388349514563</v>
          </cell>
          <cell r="M118">
            <v>0.9823624595469256</v>
          </cell>
          <cell r="N118">
            <v>778.031067961165</v>
          </cell>
        </row>
        <row r="119">
          <cell r="A119">
            <v>2003</v>
          </cell>
          <cell r="B119">
            <v>1</v>
          </cell>
          <cell r="C119">
            <v>2</v>
          </cell>
          <cell r="D119">
            <v>360</v>
          </cell>
          <cell r="E119">
            <v>2</v>
          </cell>
          <cell r="F119" t="str">
            <v>USD</v>
          </cell>
          <cell r="G119">
            <v>10.5</v>
          </cell>
          <cell r="H119">
            <v>2580</v>
          </cell>
          <cell r="I119">
            <v>1</v>
          </cell>
          <cell r="J119" t="str">
            <v>ГАКБ "Точиксодиротбонк"</v>
          </cell>
          <cell r="K119">
            <v>27090</v>
          </cell>
          <cell r="L119">
            <v>2534.495145631068</v>
          </cell>
          <cell r="M119">
            <v>0.9823624595469256</v>
          </cell>
          <cell r="N119">
            <v>26612.199029126215</v>
          </cell>
        </row>
        <row r="120">
          <cell r="A120">
            <v>2003</v>
          </cell>
          <cell r="B120">
            <v>1</v>
          </cell>
          <cell r="C120">
            <v>2</v>
          </cell>
          <cell r="D120">
            <v>90</v>
          </cell>
          <cell r="E120">
            <v>2</v>
          </cell>
          <cell r="F120" t="str">
            <v>USD</v>
          </cell>
          <cell r="G120">
            <v>6</v>
          </cell>
          <cell r="H120">
            <v>921</v>
          </cell>
          <cell r="I120">
            <v>4</v>
          </cell>
          <cell r="J120" t="str">
            <v>ГАКБ "Точиксодиротбонк"</v>
          </cell>
          <cell r="K120">
            <v>5526</v>
          </cell>
          <cell r="L120">
            <v>904.7558252427185</v>
          </cell>
          <cell r="M120">
            <v>0.9823624595469256</v>
          </cell>
          <cell r="N120">
            <v>5428.53495145631</v>
          </cell>
        </row>
        <row r="121">
          <cell r="A121">
            <v>2003</v>
          </cell>
          <cell r="B121">
            <v>1</v>
          </cell>
          <cell r="C121">
            <v>2</v>
          </cell>
          <cell r="D121">
            <v>60</v>
          </cell>
          <cell r="E121">
            <v>2</v>
          </cell>
          <cell r="F121" t="str">
            <v>USD</v>
          </cell>
          <cell r="G121">
            <v>5.5</v>
          </cell>
          <cell r="H121">
            <v>12142</v>
          </cell>
          <cell r="I121">
            <v>1</v>
          </cell>
          <cell r="J121" t="str">
            <v>ГАКБ "Точиксодиротбонк"</v>
          </cell>
          <cell r="K121">
            <v>66781</v>
          </cell>
          <cell r="L121">
            <v>11927.84498381877</v>
          </cell>
          <cell r="M121">
            <v>0.9823624595469256</v>
          </cell>
          <cell r="N121">
            <v>65603.14741100324</v>
          </cell>
        </row>
        <row r="122">
          <cell r="A122">
            <v>2003</v>
          </cell>
          <cell r="B122">
            <v>1</v>
          </cell>
          <cell r="C122">
            <v>1</v>
          </cell>
          <cell r="D122">
            <v>0</v>
          </cell>
          <cell r="E122">
            <v>1</v>
          </cell>
          <cell r="F122" t="str">
            <v>EURO</v>
          </cell>
          <cell r="G122">
            <v>0</v>
          </cell>
          <cell r="H122">
            <v>13</v>
          </cell>
          <cell r="I122">
            <v>1</v>
          </cell>
          <cell r="J122" t="str">
            <v>ГСБ "Амонатбанк"</v>
          </cell>
          <cell r="K122">
            <v>0</v>
          </cell>
          <cell r="L122">
            <v>11.76787700177936</v>
          </cell>
          <cell r="M122">
            <v>0.9052213078291815</v>
          </cell>
          <cell r="N122">
            <v>0</v>
          </cell>
        </row>
        <row r="123">
          <cell r="A123">
            <v>2003</v>
          </cell>
          <cell r="B123">
            <v>1</v>
          </cell>
          <cell r="C123">
            <v>1</v>
          </cell>
          <cell r="D123">
            <v>0</v>
          </cell>
          <cell r="E123">
            <v>1</v>
          </cell>
          <cell r="F123" t="str">
            <v>RUR</v>
          </cell>
          <cell r="G123">
            <v>0</v>
          </cell>
          <cell r="H123">
            <v>42219</v>
          </cell>
          <cell r="I123">
            <v>23</v>
          </cell>
          <cell r="J123" t="str">
            <v>ГСБ "Амонатбанк"</v>
          </cell>
          <cell r="K123">
            <v>0</v>
          </cell>
          <cell r="L123">
            <v>39608.07177268706</v>
          </cell>
          <cell r="M123">
            <v>0.9381575066365158</v>
          </cell>
          <cell r="N123">
            <v>0</v>
          </cell>
        </row>
        <row r="124">
          <cell r="A124">
            <v>2003</v>
          </cell>
          <cell r="B124">
            <v>1</v>
          </cell>
          <cell r="C124">
            <v>1</v>
          </cell>
          <cell r="D124">
            <v>0</v>
          </cell>
          <cell r="E124">
            <v>2</v>
          </cell>
          <cell r="F124" t="str">
            <v>RUR</v>
          </cell>
          <cell r="G124">
            <v>0</v>
          </cell>
          <cell r="H124">
            <v>546</v>
          </cell>
          <cell r="I124">
            <v>6</v>
          </cell>
          <cell r="J124" t="str">
            <v>ГСБ "Амонатбанк"</v>
          </cell>
          <cell r="K124">
            <v>0</v>
          </cell>
          <cell r="L124">
            <v>512.2339986235376</v>
          </cell>
          <cell r="M124">
            <v>0.9381575066365158</v>
          </cell>
          <cell r="N124">
            <v>0</v>
          </cell>
        </row>
        <row r="125">
          <cell r="A125">
            <v>2003</v>
          </cell>
          <cell r="B125">
            <v>1</v>
          </cell>
          <cell r="C125">
            <v>1</v>
          </cell>
          <cell r="D125">
            <v>0</v>
          </cell>
          <cell r="E125">
            <v>1</v>
          </cell>
          <cell r="F125" t="str">
            <v>TJS</v>
          </cell>
          <cell r="G125">
            <v>0</v>
          </cell>
          <cell r="H125">
            <v>15129015</v>
          </cell>
          <cell r="I125">
            <v>3846</v>
          </cell>
          <cell r="J125" t="str">
            <v>ГСБ "Амонатбанк"</v>
          </cell>
          <cell r="K125">
            <v>0</v>
          </cell>
          <cell r="L125">
            <v>15129015</v>
          </cell>
          <cell r="M125">
            <v>1</v>
          </cell>
          <cell r="N125">
            <v>0</v>
          </cell>
        </row>
        <row r="126">
          <cell r="A126">
            <v>2003</v>
          </cell>
          <cell r="B126">
            <v>1</v>
          </cell>
          <cell r="C126">
            <v>1</v>
          </cell>
          <cell r="D126">
            <v>0</v>
          </cell>
          <cell r="E126">
            <v>1</v>
          </cell>
          <cell r="F126" t="str">
            <v>TJS</v>
          </cell>
          <cell r="G126">
            <v>0</v>
          </cell>
          <cell r="H126">
            <v>45058943</v>
          </cell>
          <cell r="I126">
            <v>1986</v>
          </cell>
          <cell r="J126" t="str">
            <v>ГСБ "Амонатбанк"</v>
          </cell>
          <cell r="K126">
            <v>0</v>
          </cell>
          <cell r="L126">
            <v>45058943</v>
          </cell>
          <cell r="M126">
            <v>1</v>
          </cell>
          <cell r="N126">
            <v>0</v>
          </cell>
        </row>
        <row r="127">
          <cell r="A127">
            <v>2003</v>
          </cell>
          <cell r="B127">
            <v>1</v>
          </cell>
          <cell r="C127">
            <v>2</v>
          </cell>
          <cell r="D127">
            <v>90</v>
          </cell>
          <cell r="E127">
            <v>2</v>
          </cell>
          <cell r="F127" t="str">
            <v>TJS</v>
          </cell>
          <cell r="G127">
            <v>15</v>
          </cell>
          <cell r="H127">
            <v>46417</v>
          </cell>
          <cell r="I127">
            <v>16</v>
          </cell>
          <cell r="J127" t="str">
            <v>ГСБ "Амонатбанк"</v>
          </cell>
          <cell r="K127">
            <v>696255</v>
          </cell>
          <cell r="L127">
            <v>46417</v>
          </cell>
          <cell r="M127">
            <v>1</v>
          </cell>
          <cell r="N127">
            <v>696255</v>
          </cell>
        </row>
        <row r="128">
          <cell r="A128">
            <v>2003</v>
          </cell>
          <cell r="B128">
            <v>1</v>
          </cell>
          <cell r="C128">
            <v>2</v>
          </cell>
          <cell r="D128">
            <v>180</v>
          </cell>
          <cell r="E128">
            <v>2</v>
          </cell>
          <cell r="F128" t="str">
            <v>TJS</v>
          </cell>
          <cell r="G128">
            <v>18</v>
          </cell>
          <cell r="H128">
            <v>15112</v>
          </cell>
          <cell r="I128">
            <v>6</v>
          </cell>
          <cell r="J128" t="str">
            <v>ГСБ "Амонатбанк"</v>
          </cell>
          <cell r="K128">
            <v>272016</v>
          </cell>
          <cell r="L128">
            <v>15112</v>
          </cell>
          <cell r="M128">
            <v>1</v>
          </cell>
          <cell r="N128">
            <v>272016</v>
          </cell>
        </row>
        <row r="129">
          <cell r="A129">
            <v>2003</v>
          </cell>
          <cell r="B129">
            <v>1</v>
          </cell>
          <cell r="C129">
            <v>2</v>
          </cell>
          <cell r="D129">
            <v>360</v>
          </cell>
          <cell r="E129">
            <v>2</v>
          </cell>
          <cell r="F129" t="str">
            <v>TJS</v>
          </cell>
          <cell r="G129">
            <v>24</v>
          </cell>
          <cell r="H129">
            <v>99372</v>
          </cell>
          <cell r="I129">
            <v>28</v>
          </cell>
          <cell r="J129" t="str">
            <v>ГСБ "Амонатбанк"</v>
          </cell>
          <cell r="K129">
            <v>2384928</v>
          </cell>
          <cell r="L129">
            <v>99372</v>
          </cell>
          <cell r="M129">
            <v>1</v>
          </cell>
          <cell r="N129">
            <v>2384928</v>
          </cell>
        </row>
        <row r="130">
          <cell r="A130">
            <v>2003</v>
          </cell>
          <cell r="B130">
            <v>1</v>
          </cell>
          <cell r="C130">
            <v>2</v>
          </cell>
          <cell r="D130">
            <v>1080</v>
          </cell>
          <cell r="E130">
            <v>2</v>
          </cell>
          <cell r="F130" t="str">
            <v>TJS</v>
          </cell>
          <cell r="G130">
            <v>30</v>
          </cell>
          <cell r="H130">
            <v>201905</v>
          </cell>
          <cell r="I130">
            <v>13</v>
          </cell>
          <cell r="J130" t="str">
            <v>ГСБ "Амонатбанк"</v>
          </cell>
          <cell r="K130">
            <v>6057150</v>
          </cell>
          <cell r="L130">
            <v>201905</v>
          </cell>
          <cell r="M130">
            <v>1</v>
          </cell>
          <cell r="N130">
            <v>6057150</v>
          </cell>
        </row>
        <row r="131">
          <cell r="A131">
            <v>2003</v>
          </cell>
          <cell r="B131">
            <v>1</v>
          </cell>
          <cell r="C131">
            <v>2</v>
          </cell>
          <cell r="D131">
            <v>360</v>
          </cell>
          <cell r="E131">
            <v>2</v>
          </cell>
          <cell r="F131" t="str">
            <v>TJS</v>
          </cell>
          <cell r="G131">
            <v>2</v>
          </cell>
          <cell r="H131">
            <v>3099</v>
          </cell>
          <cell r="I131">
            <v>10</v>
          </cell>
          <cell r="J131" t="str">
            <v>ГСБ "Амонатбанк"</v>
          </cell>
          <cell r="K131">
            <v>6198</v>
          </cell>
          <cell r="L131">
            <v>3099</v>
          </cell>
          <cell r="M131">
            <v>1</v>
          </cell>
          <cell r="N131">
            <v>6198</v>
          </cell>
        </row>
        <row r="132">
          <cell r="A132">
            <v>2003</v>
          </cell>
          <cell r="B132">
            <v>1</v>
          </cell>
          <cell r="C132">
            <v>3</v>
          </cell>
          <cell r="D132">
            <v>360</v>
          </cell>
          <cell r="E132">
            <v>2</v>
          </cell>
          <cell r="F132" t="str">
            <v>TJS</v>
          </cell>
          <cell r="G132">
            <v>2</v>
          </cell>
          <cell r="H132">
            <v>1222922</v>
          </cell>
          <cell r="I132">
            <v>21365</v>
          </cell>
          <cell r="J132" t="str">
            <v>ГСБ "Амонатбанк"</v>
          </cell>
          <cell r="K132">
            <v>2445844</v>
          </cell>
          <cell r="L132">
            <v>1222922</v>
          </cell>
          <cell r="M132">
            <v>1</v>
          </cell>
          <cell r="N132">
            <v>2445844</v>
          </cell>
        </row>
        <row r="133">
          <cell r="A133">
            <v>2003</v>
          </cell>
          <cell r="B133">
            <v>1</v>
          </cell>
          <cell r="C133">
            <v>1</v>
          </cell>
          <cell r="D133">
            <v>0</v>
          </cell>
          <cell r="E133">
            <v>1</v>
          </cell>
          <cell r="F133" t="str">
            <v>USD</v>
          </cell>
          <cell r="G133">
            <v>0</v>
          </cell>
          <cell r="H133">
            <v>5516083</v>
          </cell>
          <cell r="I133">
            <v>38</v>
          </cell>
          <cell r="J133" t="str">
            <v>ГСБ "Амонатбанк"</v>
          </cell>
          <cell r="K133">
            <v>0</v>
          </cell>
          <cell r="L133">
            <v>5418792.862944984</v>
          </cell>
          <cell r="M133">
            <v>0.9823624595469256</v>
          </cell>
          <cell r="N133">
            <v>0</v>
          </cell>
        </row>
        <row r="134">
          <cell r="A134">
            <v>2003</v>
          </cell>
          <cell r="B134">
            <v>1</v>
          </cell>
          <cell r="C134">
            <v>1</v>
          </cell>
          <cell r="D134">
            <v>0</v>
          </cell>
          <cell r="E134">
            <v>2</v>
          </cell>
          <cell r="F134" t="str">
            <v>USD</v>
          </cell>
          <cell r="G134">
            <v>0</v>
          </cell>
          <cell r="H134">
            <v>56700</v>
          </cell>
          <cell r="I134">
            <v>25</v>
          </cell>
          <cell r="J134" t="str">
            <v>ГСБ "Амонатбанк"</v>
          </cell>
          <cell r="K134">
            <v>0</v>
          </cell>
          <cell r="L134">
            <v>55699.95145631068</v>
          </cell>
          <cell r="M134">
            <v>0.9823624595469256</v>
          </cell>
          <cell r="N134">
            <v>0</v>
          </cell>
        </row>
        <row r="135">
          <cell r="A135">
            <v>2003</v>
          </cell>
          <cell r="B135">
            <v>1</v>
          </cell>
          <cell r="C135">
            <v>2</v>
          </cell>
          <cell r="D135">
            <v>90</v>
          </cell>
          <cell r="E135">
            <v>2</v>
          </cell>
          <cell r="F135" t="str">
            <v>USD</v>
          </cell>
          <cell r="G135">
            <v>6</v>
          </cell>
          <cell r="H135">
            <v>34655</v>
          </cell>
          <cell r="I135">
            <v>7</v>
          </cell>
          <cell r="J135" t="str">
            <v>ГСБ "Амонатбанк"</v>
          </cell>
          <cell r="K135">
            <v>207930</v>
          </cell>
          <cell r="L135">
            <v>34043.77103559871</v>
          </cell>
          <cell r="M135">
            <v>0.9823624595469256</v>
          </cell>
          <cell r="N135">
            <v>204262.62621359224</v>
          </cell>
        </row>
        <row r="136">
          <cell r="A136">
            <v>2003</v>
          </cell>
          <cell r="B136">
            <v>1</v>
          </cell>
          <cell r="C136">
            <v>2</v>
          </cell>
          <cell r="D136">
            <v>180</v>
          </cell>
          <cell r="E136">
            <v>2</v>
          </cell>
          <cell r="F136" t="str">
            <v>USD</v>
          </cell>
          <cell r="G136">
            <v>7</v>
          </cell>
          <cell r="H136">
            <v>18311</v>
          </cell>
          <cell r="I136">
            <v>4</v>
          </cell>
          <cell r="J136" t="str">
            <v>ГСБ "Амонатбанк"</v>
          </cell>
          <cell r="K136">
            <v>128177</v>
          </cell>
          <cell r="L136">
            <v>17988.038996763753</v>
          </cell>
          <cell r="M136">
            <v>0.9823624595469256</v>
          </cell>
          <cell r="N136">
            <v>125916.27297734628</v>
          </cell>
        </row>
        <row r="137">
          <cell r="A137">
            <v>2003</v>
          </cell>
          <cell r="B137">
            <v>1</v>
          </cell>
          <cell r="C137">
            <v>2</v>
          </cell>
          <cell r="D137">
            <v>360</v>
          </cell>
          <cell r="E137">
            <v>2</v>
          </cell>
          <cell r="F137" t="str">
            <v>USD</v>
          </cell>
          <cell r="G137">
            <v>12</v>
          </cell>
          <cell r="H137">
            <v>71326</v>
          </cell>
          <cell r="I137">
            <v>18</v>
          </cell>
          <cell r="J137" t="str">
            <v>ГСБ "Амонатбанк"</v>
          </cell>
          <cell r="K137">
            <v>855912</v>
          </cell>
          <cell r="L137">
            <v>70067.98478964402</v>
          </cell>
          <cell r="M137">
            <v>0.9823624595469256</v>
          </cell>
          <cell r="N137">
            <v>840815.8174757282</v>
          </cell>
        </row>
        <row r="138">
          <cell r="A138">
            <v>2003</v>
          </cell>
          <cell r="B138">
            <v>1</v>
          </cell>
          <cell r="C138">
            <v>2</v>
          </cell>
          <cell r="D138">
            <v>1080</v>
          </cell>
          <cell r="E138">
            <v>2</v>
          </cell>
          <cell r="F138" t="str">
            <v>USD</v>
          </cell>
          <cell r="G138">
            <v>15</v>
          </cell>
          <cell r="H138">
            <v>38872</v>
          </cell>
          <cell r="I138">
            <v>23</v>
          </cell>
          <cell r="J138" t="str">
            <v>ГСБ "Амонатбанк"</v>
          </cell>
          <cell r="K138">
            <v>583080</v>
          </cell>
          <cell r="L138">
            <v>38186.39352750809</v>
          </cell>
          <cell r="M138">
            <v>0.9823624595469256</v>
          </cell>
          <cell r="N138">
            <v>572795.9029126214</v>
          </cell>
        </row>
        <row r="139">
          <cell r="A139">
            <v>2003</v>
          </cell>
          <cell r="B139">
            <v>1</v>
          </cell>
          <cell r="C139">
            <v>1</v>
          </cell>
          <cell r="D139">
            <v>0</v>
          </cell>
          <cell r="E139">
            <v>1</v>
          </cell>
          <cell r="F139" t="str">
            <v>TJS</v>
          </cell>
          <cell r="G139">
            <v>0</v>
          </cell>
          <cell r="H139">
            <v>64256</v>
          </cell>
          <cell r="I139">
            <v>10</v>
          </cell>
          <cell r="J139" t="str">
            <v>КБ "Сомон-банк"</v>
          </cell>
          <cell r="K139">
            <v>0</v>
          </cell>
          <cell r="L139">
            <v>64256</v>
          </cell>
          <cell r="M139">
            <v>1</v>
          </cell>
          <cell r="N139">
            <v>0</v>
          </cell>
        </row>
        <row r="140">
          <cell r="A140">
            <v>2003</v>
          </cell>
          <cell r="B140">
            <v>1</v>
          </cell>
          <cell r="C140">
            <v>1</v>
          </cell>
          <cell r="D140">
            <v>360</v>
          </cell>
          <cell r="E140">
            <v>2</v>
          </cell>
          <cell r="F140" t="str">
            <v>TJS</v>
          </cell>
          <cell r="G140">
            <v>0</v>
          </cell>
          <cell r="H140">
            <v>301</v>
          </cell>
          <cell r="I140">
            <v>4</v>
          </cell>
          <cell r="J140" t="str">
            <v>КБ "Сомон-банк"</v>
          </cell>
          <cell r="K140">
            <v>0</v>
          </cell>
          <cell r="L140">
            <v>301</v>
          </cell>
          <cell r="M140">
            <v>1</v>
          </cell>
          <cell r="N140">
            <v>0</v>
          </cell>
        </row>
        <row r="141">
          <cell r="A141">
            <v>2003</v>
          </cell>
          <cell r="B141">
            <v>1</v>
          </cell>
          <cell r="C141">
            <v>1</v>
          </cell>
          <cell r="D141">
            <v>0</v>
          </cell>
          <cell r="E141">
            <v>1</v>
          </cell>
          <cell r="F141" t="str">
            <v>TJS</v>
          </cell>
          <cell r="G141">
            <v>0</v>
          </cell>
          <cell r="H141">
            <v>59803</v>
          </cell>
          <cell r="I141">
            <v>12</v>
          </cell>
          <cell r="J141" t="str">
            <v>КТОО "Фонон"</v>
          </cell>
          <cell r="K141">
            <v>0</v>
          </cell>
          <cell r="L141">
            <v>59803</v>
          </cell>
          <cell r="M141">
            <v>1</v>
          </cell>
          <cell r="N141">
            <v>0</v>
          </cell>
        </row>
        <row r="142">
          <cell r="A142">
            <v>2003</v>
          </cell>
          <cell r="B142">
            <v>1</v>
          </cell>
          <cell r="C142">
            <v>1</v>
          </cell>
          <cell r="D142">
            <v>0</v>
          </cell>
          <cell r="E142">
            <v>2</v>
          </cell>
          <cell r="F142" t="str">
            <v>TJS</v>
          </cell>
          <cell r="G142">
            <v>0</v>
          </cell>
          <cell r="H142">
            <v>194</v>
          </cell>
          <cell r="I142">
            <v>1</v>
          </cell>
          <cell r="J142" t="str">
            <v>КТОО "Фонон"</v>
          </cell>
          <cell r="K142">
            <v>0</v>
          </cell>
          <cell r="L142">
            <v>194</v>
          </cell>
          <cell r="M142">
            <v>1</v>
          </cell>
          <cell r="N142">
            <v>0</v>
          </cell>
        </row>
        <row r="143">
          <cell r="A143">
            <v>2003</v>
          </cell>
          <cell r="B143">
            <v>1</v>
          </cell>
          <cell r="C143">
            <v>1</v>
          </cell>
          <cell r="D143">
            <v>0</v>
          </cell>
          <cell r="E143">
            <v>1</v>
          </cell>
          <cell r="F143" t="str">
            <v>USD</v>
          </cell>
          <cell r="G143">
            <v>0</v>
          </cell>
          <cell r="H143">
            <v>166</v>
          </cell>
          <cell r="I143">
            <v>1</v>
          </cell>
          <cell r="J143" t="str">
            <v>КТОО "Фонон"</v>
          </cell>
          <cell r="K143">
            <v>0</v>
          </cell>
          <cell r="L143">
            <v>163.07216828478965</v>
          </cell>
          <cell r="M143">
            <v>0.9823624595469256</v>
          </cell>
          <cell r="N143">
            <v>0</v>
          </cell>
        </row>
        <row r="144">
          <cell r="A144">
            <v>2003</v>
          </cell>
          <cell r="B144">
            <v>1</v>
          </cell>
          <cell r="C144">
            <v>1</v>
          </cell>
          <cell r="D144">
            <v>0</v>
          </cell>
          <cell r="E144">
            <v>2</v>
          </cell>
          <cell r="F144" t="str">
            <v>USD</v>
          </cell>
          <cell r="G144">
            <v>0</v>
          </cell>
          <cell r="H144">
            <v>182134</v>
          </cell>
          <cell r="I144">
            <v>1</v>
          </cell>
          <cell r="J144" t="str">
            <v>КТОО "Фонон"</v>
          </cell>
          <cell r="K144">
            <v>0</v>
          </cell>
          <cell r="L144">
            <v>178921.60420711973</v>
          </cell>
          <cell r="M144">
            <v>0.9823624595469256</v>
          </cell>
          <cell r="N144">
            <v>0</v>
          </cell>
        </row>
        <row r="145">
          <cell r="A145">
            <v>2003</v>
          </cell>
          <cell r="B145">
            <v>1</v>
          </cell>
          <cell r="C145">
            <v>1</v>
          </cell>
          <cell r="D145">
            <v>0</v>
          </cell>
          <cell r="E145">
            <v>1</v>
          </cell>
          <cell r="F145" t="str">
            <v>RUR</v>
          </cell>
          <cell r="G145">
            <v>0</v>
          </cell>
          <cell r="H145">
            <v>27998</v>
          </cell>
          <cell r="I145">
            <v>1</v>
          </cell>
          <cell r="J145" t="str">
            <v>СЛТ АКБ "Ист-Кредитбанк"</v>
          </cell>
          <cell r="K145">
            <v>0</v>
          </cell>
          <cell r="L145">
            <v>26266.53387080917</v>
          </cell>
          <cell r="M145">
            <v>0.9381575066365158</v>
          </cell>
          <cell r="N145">
            <v>0</v>
          </cell>
        </row>
        <row r="146">
          <cell r="A146">
            <v>2003</v>
          </cell>
          <cell r="B146">
            <v>1</v>
          </cell>
          <cell r="C146">
            <v>1</v>
          </cell>
          <cell r="D146">
            <v>0</v>
          </cell>
          <cell r="E146">
            <v>1</v>
          </cell>
          <cell r="F146" t="str">
            <v>TJS</v>
          </cell>
          <cell r="G146">
            <v>0</v>
          </cell>
          <cell r="H146">
            <v>1288293</v>
          </cell>
          <cell r="I146">
            <v>9</v>
          </cell>
          <cell r="J146" t="str">
            <v>СЛТ АКБ "Ист-Кредитбанк"</v>
          </cell>
          <cell r="K146">
            <v>0</v>
          </cell>
          <cell r="L146">
            <v>1288293</v>
          </cell>
          <cell r="M146">
            <v>1</v>
          </cell>
          <cell r="N146">
            <v>0</v>
          </cell>
        </row>
        <row r="147">
          <cell r="A147">
            <v>2003</v>
          </cell>
          <cell r="B147">
            <v>1</v>
          </cell>
          <cell r="C147">
            <v>1</v>
          </cell>
          <cell r="D147">
            <v>0</v>
          </cell>
          <cell r="E147">
            <v>2</v>
          </cell>
          <cell r="F147" t="str">
            <v>TJS</v>
          </cell>
          <cell r="G147">
            <v>0</v>
          </cell>
          <cell r="H147">
            <v>1498</v>
          </cell>
          <cell r="I147">
            <v>1</v>
          </cell>
          <cell r="J147" t="str">
            <v>СЛТ АКБ "Ист-Кредитбанк"</v>
          </cell>
          <cell r="K147">
            <v>0</v>
          </cell>
          <cell r="L147">
            <v>1498</v>
          </cell>
          <cell r="M147">
            <v>1</v>
          </cell>
          <cell r="N147">
            <v>0</v>
          </cell>
        </row>
        <row r="148">
          <cell r="A148">
            <v>2003</v>
          </cell>
          <cell r="B148">
            <v>1</v>
          </cell>
          <cell r="C148">
            <v>1</v>
          </cell>
          <cell r="D148">
            <v>0</v>
          </cell>
          <cell r="E148">
            <v>1</v>
          </cell>
          <cell r="F148" t="str">
            <v>USD</v>
          </cell>
          <cell r="G148">
            <v>0</v>
          </cell>
          <cell r="H148">
            <v>595447</v>
          </cell>
          <cell r="I148">
            <v>3</v>
          </cell>
          <cell r="J148" t="str">
            <v>СЛТ АКБ "Ист-Кредитбанк"</v>
          </cell>
          <cell r="K148">
            <v>0</v>
          </cell>
          <cell r="L148">
            <v>584944.7794498382</v>
          </cell>
          <cell r="M148">
            <v>0.9823624595469256</v>
          </cell>
          <cell r="N148">
            <v>0</v>
          </cell>
        </row>
        <row r="149">
          <cell r="A149">
            <v>2003</v>
          </cell>
          <cell r="B149">
            <v>1</v>
          </cell>
          <cell r="C149">
            <v>1</v>
          </cell>
          <cell r="D149">
            <v>0</v>
          </cell>
          <cell r="E149">
            <v>1</v>
          </cell>
          <cell r="F149" t="str">
            <v>TJS</v>
          </cell>
          <cell r="G149">
            <v>0</v>
          </cell>
          <cell r="H149">
            <v>178321</v>
          </cell>
          <cell r="I149">
            <v>12</v>
          </cell>
          <cell r="J149" t="str">
            <v>СТК "Центрально-Азиатский банк"</v>
          </cell>
          <cell r="K149">
            <v>0</v>
          </cell>
          <cell r="L149">
            <v>178321</v>
          </cell>
          <cell r="M149">
            <v>1</v>
          </cell>
          <cell r="N149">
            <v>0</v>
          </cell>
        </row>
        <row r="150">
          <cell r="A150">
            <v>2003</v>
          </cell>
          <cell r="B150">
            <v>1</v>
          </cell>
          <cell r="C150">
            <v>2</v>
          </cell>
          <cell r="D150">
            <v>90</v>
          </cell>
          <cell r="E150">
            <v>1</v>
          </cell>
          <cell r="F150" t="str">
            <v>TJS</v>
          </cell>
          <cell r="G150">
            <v>6</v>
          </cell>
          <cell r="H150">
            <v>1182</v>
          </cell>
          <cell r="I150">
            <v>1</v>
          </cell>
          <cell r="J150" t="str">
            <v>СТК "Центрально-Азиатский банк"</v>
          </cell>
          <cell r="K150">
            <v>7092</v>
          </cell>
          <cell r="L150">
            <v>1182</v>
          </cell>
          <cell r="M150">
            <v>1</v>
          </cell>
          <cell r="N150">
            <v>7092</v>
          </cell>
        </row>
        <row r="151">
          <cell r="A151">
            <v>2003</v>
          </cell>
          <cell r="B151">
            <v>1</v>
          </cell>
          <cell r="C151">
            <v>1</v>
          </cell>
          <cell r="D151">
            <v>0</v>
          </cell>
          <cell r="E151">
            <v>1</v>
          </cell>
          <cell r="F151" t="str">
            <v>USD</v>
          </cell>
          <cell r="G151">
            <v>0</v>
          </cell>
          <cell r="H151">
            <v>108807</v>
          </cell>
          <cell r="I151">
            <v>4</v>
          </cell>
          <cell r="J151" t="str">
            <v>СТК "Центрально-Азиатский банк"</v>
          </cell>
          <cell r="K151">
            <v>0</v>
          </cell>
          <cell r="L151">
            <v>106887.91213592234</v>
          </cell>
          <cell r="M151">
            <v>0.9823624595469256</v>
          </cell>
          <cell r="N151">
            <v>0</v>
          </cell>
        </row>
        <row r="152">
          <cell r="A152">
            <v>2003</v>
          </cell>
          <cell r="B152">
            <v>1</v>
          </cell>
          <cell r="C152">
            <v>2</v>
          </cell>
          <cell r="D152">
            <v>360</v>
          </cell>
          <cell r="E152">
            <v>2</v>
          </cell>
          <cell r="F152" t="str">
            <v>USD</v>
          </cell>
          <cell r="G152">
            <v>20</v>
          </cell>
          <cell r="H152">
            <v>726</v>
          </cell>
          <cell r="I152">
            <v>1</v>
          </cell>
          <cell r="J152" t="str">
            <v>СТК "Центрально-Азиатский банк"</v>
          </cell>
          <cell r="K152">
            <v>14520</v>
          </cell>
          <cell r="L152">
            <v>713.1951456310679</v>
          </cell>
          <cell r="M152">
            <v>0.9823624595469256</v>
          </cell>
          <cell r="N152">
            <v>14263.902912621359</v>
          </cell>
        </row>
        <row r="153">
          <cell r="A153">
            <v>2003</v>
          </cell>
          <cell r="B153">
            <v>1</v>
          </cell>
          <cell r="C153">
            <v>1</v>
          </cell>
          <cell r="D153">
            <v>0</v>
          </cell>
          <cell r="E153">
            <v>1</v>
          </cell>
          <cell r="F153" t="str">
            <v>TJS</v>
          </cell>
          <cell r="G153">
            <v>0</v>
          </cell>
          <cell r="H153">
            <v>11116684</v>
          </cell>
          <cell r="I153">
            <v>65</v>
          </cell>
          <cell r="J153" t="str">
            <v>ТАК ПБРР "Таджпромбанк"</v>
          </cell>
          <cell r="K153">
            <v>0</v>
          </cell>
          <cell r="L153">
            <v>11116684</v>
          </cell>
          <cell r="M153">
            <v>1</v>
          </cell>
          <cell r="N153">
            <v>0</v>
          </cell>
        </row>
        <row r="154">
          <cell r="A154">
            <v>2003</v>
          </cell>
          <cell r="B154">
            <v>1</v>
          </cell>
          <cell r="C154">
            <v>1</v>
          </cell>
          <cell r="D154">
            <v>0</v>
          </cell>
          <cell r="E154">
            <v>2</v>
          </cell>
          <cell r="F154" t="str">
            <v>TJS</v>
          </cell>
          <cell r="G154">
            <v>0</v>
          </cell>
          <cell r="H154">
            <v>1054816</v>
          </cell>
          <cell r="I154">
            <v>11</v>
          </cell>
          <cell r="J154" t="str">
            <v>ТАК ПБРР "Таджпромбанк"</v>
          </cell>
          <cell r="K154">
            <v>0</v>
          </cell>
          <cell r="L154">
            <v>1054816</v>
          </cell>
          <cell r="M154">
            <v>1</v>
          </cell>
          <cell r="N154">
            <v>0</v>
          </cell>
        </row>
        <row r="155">
          <cell r="A155">
            <v>2003</v>
          </cell>
          <cell r="B155">
            <v>1</v>
          </cell>
          <cell r="C155">
            <v>3</v>
          </cell>
          <cell r="D155">
            <v>360</v>
          </cell>
          <cell r="E155">
            <v>2</v>
          </cell>
          <cell r="F155" t="str">
            <v>TJS</v>
          </cell>
          <cell r="G155">
            <v>20</v>
          </cell>
          <cell r="H155">
            <v>30</v>
          </cell>
          <cell r="I155">
            <v>1</v>
          </cell>
          <cell r="J155" t="str">
            <v>ТАК ПБРР "Таджпромбанк"</v>
          </cell>
          <cell r="K155">
            <v>600</v>
          </cell>
          <cell r="L155">
            <v>30</v>
          </cell>
          <cell r="M155">
            <v>1</v>
          </cell>
          <cell r="N155">
            <v>600</v>
          </cell>
        </row>
        <row r="156">
          <cell r="A156">
            <v>2003</v>
          </cell>
          <cell r="B156">
            <v>1</v>
          </cell>
          <cell r="C156">
            <v>2</v>
          </cell>
          <cell r="D156">
            <v>30</v>
          </cell>
          <cell r="E156">
            <v>2</v>
          </cell>
          <cell r="F156" t="str">
            <v>TJS</v>
          </cell>
          <cell r="G156">
            <v>0</v>
          </cell>
          <cell r="H156">
            <v>2542</v>
          </cell>
          <cell r="I156">
            <v>1</v>
          </cell>
          <cell r="J156" t="str">
            <v>ТАК ПБРР "Таджпромбанк"</v>
          </cell>
          <cell r="K156">
            <v>0</v>
          </cell>
          <cell r="L156">
            <v>2542</v>
          </cell>
          <cell r="M156">
            <v>1</v>
          </cell>
          <cell r="N156">
            <v>0</v>
          </cell>
        </row>
        <row r="157">
          <cell r="A157">
            <v>2003</v>
          </cell>
          <cell r="B157">
            <v>1</v>
          </cell>
          <cell r="C157">
            <v>1</v>
          </cell>
          <cell r="D157">
            <v>0</v>
          </cell>
          <cell r="E157">
            <v>1</v>
          </cell>
          <cell r="F157" t="str">
            <v>USD</v>
          </cell>
          <cell r="G157">
            <v>0</v>
          </cell>
          <cell r="H157">
            <v>35435256</v>
          </cell>
          <cell r="I157">
            <v>19</v>
          </cell>
          <cell r="J157" t="str">
            <v>ТАК ПБРР "Таджпромбанк"</v>
          </cell>
          <cell r="K157">
            <v>0</v>
          </cell>
          <cell r="L157">
            <v>34810265.238834955</v>
          </cell>
          <cell r="M157">
            <v>0.9823624595469256</v>
          </cell>
          <cell r="N157">
            <v>0</v>
          </cell>
        </row>
        <row r="158">
          <cell r="A158">
            <v>2003</v>
          </cell>
          <cell r="B158">
            <v>1</v>
          </cell>
          <cell r="C158">
            <v>1</v>
          </cell>
          <cell r="D158">
            <v>0</v>
          </cell>
          <cell r="E158">
            <v>2</v>
          </cell>
          <cell r="F158" t="str">
            <v>USD</v>
          </cell>
          <cell r="G158">
            <v>0</v>
          </cell>
          <cell r="H158">
            <v>705709</v>
          </cell>
          <cell r="I158">
            <v>9</v>
          </cell>
          <cell r="J158" t="str">
            <v>ТАК ПБРР "Таджпромбанк"</v>
          </cell>
          <cell r="K158">
            <v>0</v>
          </cell>
          <cell r="L158">
            <v>693262.0289644013</v>
          </cell>
          <cell r="M158">
            <v>0.9823624595469256</v>
          </cell>
          <cell r="N158">
            <v>0</v>
          </cell>
        </row>
        <row r="159">
          <cell r="A159">
            <v>2003</v>
          </cell>
          <cell r="B159">
            <v>1</v>
          </cell>
          <cell r="C159">
            <v>1</v>
          </cell>
          <cell r="D159">
            <v>0</v>
          </cell>
          <cell r="E159">
            <v>2</v>
          </cell>
          <cell r="F159" t="str">
            <v>USD</v>
          </cell>
          <cell r="G159">
            <v>16</v>
          </cell>
          <cell r="H159">
            <v>3827</v>
          </cell>
          <cell r="I159">
            <v>1</v>
          </cell>
          <cell r="J159" t="str">
            <v>ТАК ПБРР "Таджпромбанк"</v>
          </cell>
          <cell r="K159">
            <v>61232</v>
          </cell>
          <cell r="L159">
            <v>3759.501132686084</v>
          </cell>
          <cell r="M159">
            <v>0.9823624595469256</v>
          </cell>
          <cell r="N159">
            <v>60152.018122977344</v>
          </cell>
        </row>
        <row r="160">
          <cell r="A160">
            <v>2003</v>
          </cell>
          <cell r="B160">
            <v>1</v>
          </cell>
          <cell r="C160">
            <v>1</v>
          </cell>
          <cell r="D160">
            <v>0</v>
          </cell>
          <cell r="E160">
            <v>2</v>
          </cell>
          <cell r="F160" t="str">
            <v>USD</v>
          </cell>
          <cell r="G160">
            <v>20</v>
          </cell>
          <cell r="H160">
            <v>216</v>
          </cell>
          <cell r="I160">
            <v>1</v>
          </cell>
          <cell r="J160" t="str">
            <v>ТАК ПБРР "Таджпромбанк"</v>
          </cell>
          <cell r="K160">
            <v>4320</v>
          </cell>
          <cell r="L160">
            <v>212.19029126213593</v>
          </cell>
          <cell r="M160">
            <v>0.9823624595469256</v>
          </cell>
          <cell r="N160">
            <v>4243.805825242718</v>
          </cell>
        </row>
        <row r="161">
          <cell r="A161">
            <v>2003</v>
          </cell>
          <cell r="B161">
            <v>1</v>
          </cell>
          <cell r="C161">
            <v>2</v>
          </cell>
          <cell r="D161">
            <v>30</v>
          </cell>
          <cell r="E161">
            <v>2</v>
          </cell>
          <cell r="F161" t="str">
            <v>USD</v>
          </cell>
          <cell r="G161">
            <v>14</v>
          </cell>
          <cell r="H161">
            <v>40979</v>
          </cell>
          <cell r="I161">
            <v>1</v>
          </cell>
          <cell r="J161" t="str">
            <v>ТАК ПБРР "Таджпромбанк"</v>
          </cell>
          <cell r="K161">
            <v>573706</v>
          </cell>
          <cell r="L161">
            <v>40256.23122977346</v>
          </cell>
          <cell r="M161">
            <v>0.9823624595469256</v>
          </cell>
          <cell r="N161">
            <v>563587.2372168285</v>
          </cell>
        </row>
        <row r="162">
          <cell r="A162">
            <v>2003</v>
          </cell>
          <cell r="B162">
            <v>1</v>
          </cell>
          <cell r="C162">
            <v>2</v>
          </cell>
          <cell r="D162">
            <v>360</v>
          </cell>
          <cell r="E162">
            <v>2</v>
          </cell>
          <cell r="F162" t="str">
            <v>USD</v>
          </cell>
          <cell r="G162">
            <v>16</v>
          </cell>
          <cell r="H162">
            <v>25328</v>
          </cell>
          <cell r="I162">
            <v>4</v>
          </cell>
          <cell r="J162" t="str">
            <v>ТАК ПБРР "Таджпромбанк"</v>
          </cell>
          <cell r="K162">
            <v>405248</v>
          </cell>
          <cell r="L162">
            <v>24881.27637540453</v>
          </cell>
          <cell r="M162">
            <v>0.9823624595469256</v>
          </cell>
          <cell r="N162">
            <v>398100.4220064725</v>
          </cell>
        </row>
        <row r="163">
          <cell r="A163">
            <v>2003</v>
          </cell>
          <cell r="B163">
            <v>1</v>
          </cell>
          <cell r="C163">
            <v>2</v>
          </cell>
          <cell r="D163">
            <v>210</v>
          </cell>
          <cell r="E163">
            <v>2</v>
          </cell>
          <cell r="F163" t="str">
            <v>USD</v>
          </cell>
          <cell r="G163">
            <v>18</v>
          </cell>
          <cell r="H163">
            <v>3036</v>
          </cell>
          <cell r="I163">
            <v>1</v>
          </cell>
          <cell r="J163" t="str">
            <v>ТАК ПБРР "Таджпромбанк"</v>
          </cell>
          <cell r="K163">
            <v>54648</v>
          </cell>
          <cell r="L163">
            <v>2982.452427184466</v>
          </cell>
          <cell r="M163">
            <v>0.9823624595469256</v>
          </cell>
          <cell r="N163">
            <v>53684.143689320386</v>
          </cell>
        </row>
        <row r="164">
          <cell r="A164">
            <v>2003</v>
          </cell>
          <cell r="B164">
            <v>1</v>
          </cell>
          <cell r="C164">
            <v>2</v>
          </cell>
          <cell r="D164">
            <v>720</v>
          </cell>
          <cell r="E164">
            <v>2</v>
          </cell>
          <cell r="F164" t="str">
            <v>USD</v>
          </cell>
          <cell r="G164">
            <v>18</v>
          </cell>
          <cell r="H164">
            <v>37482</v>
          </cell>
          <cell r="I164">
            <v>2</v>
          </cell>
          <cell r="J164" t="str">
            <v>ТАК ПБРР "Таджпромбанк"</v>
          </cell>
          <cell r="K164">
            <v>674676</v>
          </cell>
          <cell r="L164">
            <v>36820.90970873786</v>
          </cell>
          <cell r="M164">
            <v>0.9823624595469256</v>
          </cell>
          <cell r="N164">
            <v>662776.3747572816</v>
          </cell>
        </row>
        <row r="165">
          <cell r="A165">
            <v>2003</v>
          </cell>
          <cell r="B165">
            <v>1</v>
          </cell>
          <cell r="C165">
            <v>2</v>
          </cell>
          <cell r="D165">
            <v>720</v>
          </cell>
          <cell r="E165">
            <v>2</v>
          </cell>
          <cell r="F165" t="str">
            <v>USD</v>
          </cell>
          <cell r="G165">
            <v>16</v>
          </cell>
          <cell r="H165">
            <v>5767</v>
          </cell>
          <cell r="I165">
            <v>1</v>
          </cell>
          <cell r="J165" t="str">
            <v>ТАК ПБРР "Таджпромбанк"</v>
          </cell>
          <cell r="K165">
            <v>92272</v>
          </cell>
          <cell r="L165">
            <v>5665.28430420712</v>
          </cell>
          <cell r="M165">
            <v>0.9823624595469256</v>
          </cell>
          <cell r="N165">
            <v>90644.54886731392</v>
          </cell>
        </row>
        <row r="166">
          <cell r="A166">
            <v>2003</v>
          </cell>
          <cell r="B166">
            <v>1</v>
          </cell>
          <cell r="C166">
            <v>1</v>
          </cell>
          <cell r="D166">
            <v>0</v>
          </cell>
          <cell r="E166">
            <v>1</v>
          </cell>
          <cell r="F166" t="str">
            <v>EURO</v>
          </cell>
          <cell r="G166">
            <v>0</v>
          </cell>
          <cell r="H166">
            <v>3351</v>
          </cell>
          <cell r="I166">
            <v>2</v>
          </cell>
          <cell r="J166" t="str">
            <v>ТАК ПСБ "Ориёнбанк"</v>
          </cell>
          <cell r="K166">
            <v>0</v>
          </cell>
          <cell r="L166">
            <v>3033.396602535587</v>
          </cell>
          <cell r="M166">
            <v>0.9052213078291815</v>
          </cell>
          <cell r="N166">
            <v>0</v>
          </cell>
        </row>
        <row r="167">
          <cell r="A167">
            <v>2003</v>
          </cell>
          <cell r="B167">
            <v>1</v>
          </cell>
          <cell r="C167">
            <v>1</v>
          </cell>
          <cell r="D167">
            <v>0</v>
          </cell>
          <cell r="E167">
            <v>1</v>
          </cell>
          <cell r="F167" t="str">
            <v>RUR</v>
          </cell>
          <cell r="G167">
            <v>0</v>
          </cell>
          <cell r="H167">
            <v>1193045</v>
          </cell>
          <cell r="I167">
            <v>65</v>
          </cell>
          <cell r="J167" t="str">
            <v>ТАК ПСБ "Ориёнбанк"</v>
          </cell>
          <cell r="K167">
            <v>0</v>
          </cell>
          <cell r="L167">
            <v>1119264.122505162</v>
          </cell>
          <cell r="M167">
            <v>0.9381575066365158</v>
          </cell>
          <cell r="N167">
            <v>0</v>
          </cell>
        </row>
        <row r="168">
          <cell r="A168">
            <v>2003</v>
          </cell>
          <cell r="B168">
            <v>1</v>
          </cell>
          <cell r="C168">
            <v>1</v>
          </cell>
          <cell r="D168">
            <v>0</v>
          </cell>
          <cell r="E168">
            <v>1</v>
          </cell>
          <cell r="F168" t="str">
            <v>TJS</v>
          </cell>
          <cell r="G168">
            <v>0</v>
          </cell>
          <cell r="H168">
            <v>29287190</v>
          </cell>
          <cell r="I168">
            <v>4425</v>
          </cell>
          <cell r="J168" t="str">
            <v>ТАК ПСБ "Ориёнбанк"</v>
          </cell>
          <cell r="K168">
            <v>0</v>
          </cell>
          <cell r="L168">
            <v>29287190</v>
          </cell>
          <cell r="M168">
            <v>1</v>
          </cell>
          <cell r="N168">
            <v>0</v>
          </cell>
        </row>
        <row r="169">
          <cell r="A169">
            <v>2003</v>
          </cell>
          <cell r="B169">
            <v>1</v>
          </cell>
          <cell r="C169">
            <v>1</v>
          </cell>
          <cell r="D169">
            <v>0</v>
          </cell>
          <cell r="E169">
            <v>1</v>
          </cell>
          <cell r="F169" t="str">
            <v>TJS</v>
          </cell>
          <cell r="G169">
            <v>0.5</v>
          </cell>
          <cell r="H169">
            <v>22102422</v>
          </cell>
          <cell r="I169">
            <v>968</v>
          </cell>
          <cell r="J169" t="str">
            <v>ТАК ПСБ "Ориёнбанк"</v>
          </cell>
          <cell r="K169">
            <v>11051211</v>
          </cell>
          <cell r="L169">
            <v>22102422</v>
          </cell>
          <cell r="M169">
            <v>1</v>
          </cell>
          <cell r="N169">
            <v>11051211</v>
          </cell>
        </row>
        <row r="170">
          <cell r="A170">
            <v>2003</v>
          </cell>
          <cell r="B170">
            <v>1</v>
          </cell>
          <cell r="C170">
            <v>1</v>
          </cell>
          <cell r="D170">
            <v>0</v>
          </cell>
          <cell r="E170">
            <v>1</v>
          </cell>
          <cell r="F170" t="str">
            <v>TJS</v>
          </cell>
          <cell r="G170">
            <v>5</v>
          </cell>
          <cell r="H170">
            <v>498056</v>
          </cell>
          <cell r="I170">
            <v>335</v>
          </cell>
          <cell r="J170" t="str">
            <v>ТАК ПСБ "Ориёнбанк"</v>
          </cell>
          <cell r="K170">
            <v>2490280</v>
          </cell>
          <cell r="L170">
            <v>498056</v>
          </cell>
          <cell r="M170">
            <v>1</v>
          </cell>
          <cell r="N170">
            <v>2490280</v>
          </cell>
        </row>
        <row r="171">
          <cell r="A171">
            <v>2003</v>
          </cell>
          <cell r="B171">
            <v>1</v>
          </cell>
          <cell r="C171">
            <v>2</v>
          </cell>
          <cell r="D171">
            <v>100</v>
          </cell>
          <cell r="E171">
            <v>2</v>
          </cell>
          <cell r="F171" t="str">
            <v>TJS</v>
          </cell>
          <cell r="G171">
            <v>20</v>
          </cell>
          <cell r="H171">
            <v>65000</v>
          </cell>
          <cell r="I171">
            <v>5</v>
          </cell>
          <cell r="J171" t="str">
            <v>ТАК ПСБ "Ориёнбанк"</v>
          </cell>
          <cell r="K171">
            <v>1300000</v>
          </cell>
          <cell r="L171">
            <v>65000</v>
          </cell>
          <cell r="M171">
            <v>1</v>
          </cell>
          <cell r="N171">
            <v>1300000</v>
          </cell>
        </row>
        <row r="172">
          <cell r="A172">
            <v>2003</v>
          </cell>
          <cell r="B172">
            <v>1</v>
          </cell>
          <cell r="C172">
            <v>2</v>
          </cell>
          <cell r="D172">
            <v>180</v>
          </cell>
          <cell r="E172">
            <v>1</v>
          </cell>
          <cell r="F172" t="str">
            <v>TJS</v>
          </cell>
          <cell r="G172">
            <v>15</v>
          </cell>
          <cell r="H172">
            <v>5000</v>
          </cell>
          <cell r="I172">
            <v>1</v>
          </cell>
          <cell r="J172" t="str">
            <v>ТАК ПСБ "Ориёнбанк"</v>
          </cell>
          <cell r="K172">
            <v>75000</v>
          </cell>
          <cell r="L172">
            <v>5000</v>
          </cell>
          <cell r="M172">
            <v>1</v>
          </cell>
          <cell r="N172">
            <v>75000</v>
          </cell>
        </row>
        <row r="173">
          <cell r="A173">
            <v>2003</v>
          </cell>
          <cell r="B173">
            <v>1</v>
          </cell>
          <cell r="C173">
            <v>2</v>
          </cell>
          <cell r="D173">
            <v>210</v>
          </cell>
          <cell r="E173">
            <v>2</v>
          </cell>
          <cell r="F173" t="str">
            <v>TJS</v>
          </cell>
          <cell r="G173">
            <v>20</v>
          </cell>
          <cell r="H173">
            <v>537</v>
          </cell>
          <cell r="I173">
            <v>1</v>
          </cell>
          <cell r="J173" t="str">
            <v>ТАК ПСБ "Ориёнбанк"</v>
          </cell>
          <cell r="K173">
            <v>10740</v>
          </cell>
          <cell r="L173">
            <v>537</v>
          </cell>
          <cell r="M173">
            <v>1</v>
          </cell>
          <cell r="N173">
            <v>10740</v>
          </cell>
        </row>
        <row r="174">
          <cell r="A174">
            <v>2003</v>
          </cell>
          <cell r="B174">
            <v>1</v>
          </cell>
          <cell r="C174">
            <v>2</v>
          </cell>
          <cell r="D174">
            <v>360</v>
          </cell>
          <cell r="E174">
            <v>2</v>
          </cell>
          <cell r="F174" t="str">
            <v>TJS</v>
          </cell>
          <cell r="G174">
            <v>20</v>
          </cell>
          <cell r="H174">
            <v>2228</v>
          </cell>
          <cell r="I174">
            <v>4</v>
          </cell>
          <cell r="J174" t="str">
            <v>ТАК ПСБ "Ориёнбанк"</v>
          </cell>
          <cell r="K174">
            <v>44560</v>
          </cell>
          <cell r="L174">
            <v>2228</v>
          </cell>
          <cell r="M174">
            <v>1</v>
          </cell>
          <cell r="N174">
            <v>44560</v>
          </cell>
        </row>
        <row r="175">
          <cell r="A175">
            <v>2003</v>
          </cell>
          <cell r="B175">
            <v>1</v>
          </cell>
          <cell r="C175">
            <v>2</v>
          </cell>
          <cell r="D175">
            <v>390</v>
          </cell>
          <cell r="E175">
            <v>2</v>
          </cell>
          <cell r="F175" t="str">
            <v>TJS</v>
          </cell>
          <cell r="G175">
            <v>24</v>
          </cell>
          <cell r="H175">
            <v>25000</v>
          </cell>
          <cell r="I175">
            <v>2</v>
          </cell>
          <cell r="J175" t="str">
            <v>ТАК ПСБ "Ориёнбанк"</v>
          </cell>
          <cell r="K175">
            <v>600000</v>
          </cell>
          <cell r="L175">
            <v>25000</v>
          </cell>
          <cell r="M175">
            <v>1</v>
          </cell>
          <cell r="N175">
            <v>600000</v>
          </cell>
        </row>
        <row r="176">
          <cell r="A176">
            <v>2003</v>
          </cell>
          <cell r="B176">
            <v>1</v>
          </cell>
          <cell r="C176">
            <v>2</v>
          </cell>
          <cell r="D176">
            <v>1020</v>
          </cell>
          <cell r="E176">
            <v>2</v>
          </cell>
          <cell r="F176" t="str">
            <v>TJS</v>
          </cell>
          <cell r="G176">
            <v>30</v>
          </cell>
          <cell r="H176">
            <v>300</v>
          </cell>
          <cell r="I176">
            <v>1</v>
          </cell>
          <cell r="J176" t="str">
            <v>ТАК ПСБ "Ориёнбанк"</v>
          </cell>
          <cell r="K176">
            <v>9000</v>
          </cell>
          <cell r="L176">
            <v>300</v>
          </cell>
          <cell r="M176">
            <v>1</v>
          </cell>
          <cell r="N176">
            <v>9000</v>
          </cell>
        </row>
        <row r="177">
          <cell r="A177">
            <v>2003</v>
          </cell>
          <cell r="B177">
            <v>1</v>
          </cell>
          <cell r="C177">
            <v>2</v>
          </cell>
          <cell r="D177">
            <v>1080</v>
          </cell>
          <cell r="E177">
            <v>2</v>
          </cell>
          <cell r="F177" t="str">
            <v>TJS</v>
          </cell>
          <cell r="G177">
            <v>30</v>
          </cell>
          <cell r="H177">
            <v>11971</v>
          </cell>
          <cell r="I177">
            <v>5</v>
          </cell>
          <cell r="J177" t="str">
            <v>ТАК ПСБ "Ориёнбанк"</v>
          </cell>
          <cell r="K177">
            <v>359130</v>
          </cell>
          <cell r="L177">
            <v>11971</v>
          </cell>
          <cell r="M177">
            <v>1</v>
          </cell>
          <cell r="N177">
            <v>359130</v>
          </cell>
        </row>
        <row r="178">
          <cell r="A178">
            <v>2003</v>
          </cell>
          <cell r="B178">
            <v>1</v>
          </cell>
          <cell r="C178">
            <v>3</v>
          </cell>
          <cell r="D178">
            <v>0</v>
          </cell>
          <cell r="E178">
            <v>2</v>
          </cell>
          <cell r="F178" t="str">
            <v>TJS</v>
          </cell>
          <cell r="G178">
            <v>5</v>
          </cell>
          <cell r="H178">
            <v>778892</v>
          </cell>
          <cell r="I178">
            <v>821</v>
          </cell>
          <cell r="J178" t="str">
            <v>ТАК ПСБ "Ориёнбанк"</v>
          </cell>
          <cell r="K178">
            <v>3894460</v>
          </cell>
          <cell r="L178">
            <v>778892</v>
          </cell>
          <cell r="M178">
            <v>1</v>
          </cell>
          <cell r="N178">
            <v>3894460</v>
          </cell>
        </row>
        <row r="179">
          <cell r="A179">
            <v>2003</v>
          </cell>
          <cell r="B179">
            <v>1</v>
          </cell>
          <cell r="C179">
            <v>1</v>
          </cell>
          <cell r="D179">
            <v>0</v>
          </cell>
          <cell r="E179">
            <v>1</v>
          </cell>
          <cell r="F179" t="str">
            <v>USD</v>
          </cell>
          <cell r="G179">
            <v>0</v>
          </cell>
          <cell r="H179">
            <v>580964</v>
          </cell>
          <cell r="I179">
            <v>7</v>
          </cell>
          <cell r="J179" t="str">
            <v>ТАК ПСБ "Ориёнбанк"</v>
          </cell>
          <cell r="K179">
            <v>0</v>
          </cell>
          <cell r="L179">
            <v>570717.22394822</v>
          </cell>
          <cell r="M179">
            <v>0.9823624595469256</v>
          </cell>
          <cell r="N179">
            <v>0</v>
          </cell>
        </row>
        <row r="180">
          <cell r="A180">
            <v>2003</v>
          </cell>
          <cell r="B180">
            <v>1</v>
          </cell>
          <cell r="C180">
            <v>1</v>
          </cell>
          <cell r="D180">
            <v>0</v>
          </cell>
          <cell r="E180">
            <v>1</v>
          </cell>
          <cell r="F180" t="str">
            <v>USD</v>
          </cell>
          <cell r="G180">
            <v>0</v>
          </cell>
          <cell r="H180">
            <v>18318509</v>
          </cell>
          <cell r="I180">
            <v>326</v>
          </cell>
          <cell r="J180" t="str">
            <v>ТАК ПСБ "Ориёнбанк"</v>
          </cell>
          <cell r="K180">
            <v>0</v>
          </cell>
          <cell r="L180">
            <v>17995415.55647249</v>
          </cell>
          <cell r="M180">
            <v>0.9823624595469256</v>
          </cell>
          <cell r="N180">
            <v>0</v>
          </cell>
        </row>
        <row r="181">
          <cell r="A181">
            <v>2003</v>
          </cell>
          <cell r="B181">
            <v>1</v>
          </cell>
          <cell r="C181">
            <v>1</v>
          </cell>
          <cell r="D181">
            <v>0</v>
          </cell>
          <cell r="E181">
            <v>2</v>
          </cell>
          <cell r="F181" t="str">
            <v>USD</v>
          </cell>
          <cell r="G181">
            <v>0</v>
          </cell>
          <cell r="H181">
            <v>66966</v>
          </cell>
          <cell r="I181">
            <v>24</v>
          </cell>
          <cell r="J181" t="str">
            <v>ТАК ПСБ "Ориёнбанк"</v>
          </cell>
          <cell r="K181">
            <v>0</v>
          </cell>
          <cell r="L181">
            <v>65784.88446601942</v>
          </cell>
          <cell r="M181">
            <v>0.9823624595469256</v>
          </cell>
          <cell r="N181">
            <v>0</v>
          </cell>
        </row>
        <row r="182">
          <cell r="A182">
            <v>2003</v>
          </cell>
          <cell r="B182">
            <v>1</v>
          </cell>
          <cell r="C182">
            <v>2</v>
          </cell>
          <cell r="D182">
            <v>360</v>
          </cell>
          <cell r="E182">
            <v>2</v>
          </cell>
          <cell r="F182" t="str">
            <v>USD</v>
          </cell>
          <cell r="G182">
            <v>10</v>
          </cell>
          <cell r="H182">
            <v>122400</v>
          </cell>
          <cell r="I182">
            <v>2</v>
          </cell>
          <cell r="J182" t="str">
            <v>ТАК ПСБ "Ориёнбанк"</v>
          </cell>
          <cell r="K182">
            <v>1224000</v>
          </cell>
          <cell r="L182">
            <v>120241.16504854368</v>
          </cell>
          <cell r="M182">
            <v>0.9823624595469256</v>
          </cell>
          <cell r="N182">
            <v>1202411.650485437</v>
          </cell>
        </row>
        <row r="183">
          <cell r="A183">
            <v>2003</v>
          </cell>
          <cell r="B183">
            <v>1</v>
          </cell>
          <cell r="C183">
            <v>2</v>
          </cell>
          <cell r="D183">
            <v>360</v>
          </cell>
          <cell r="E183">
            <v>2</v>
          </cell>
          <cell r="F183" t="str">
            <v>USD</v>
          </cell>
          <cell r="G183">
            <v>13</v>
          </cell>
          <cell r="H183">
            <v>24284</v>
          </cell>
          <cell r="I183">
            <v>1</v>
          </cell>
          <cell r="J183" t="str">
            <v>ТАК ПСБ "Ориёнбанк"</v>
          </cell>
          <cell r="K183">
            <v>315692</v>
          </cell>
          <cell r="L183">
            <v>23855.68996763754</v>
          </cell>
          <cell r="M183">
            <v>0.9823624595469256</v>
          </cell>
          <cell r="N183">
            <v>310123.96957928804</v>
          </cell>
        </row>
        <row r="184">
          <cell r="A184">
            <v>2003</v>
          </cell>
          <cell r="B184">
            <v>1</v>
          </cell>
          <cell r="C184">
            <v>2</v>
          </cell>
          <cell r="D184">
            <v>390</v>
          </cell>
          <cell r="E184">
            <v>2</v>
          </cell>
          <cell r="F184" t="str">
            <v>USD</v>
          </cell>
          <cell r="G184">
            <v>20</v>
          </cell>
          <cell r="H184">
            <v>30330</v>
          </cell>
          <cell r="I184">
            <v>2</v>
          </cell>
          <cell r="J184" t="str">
            <v>ТАК ПСБ "Ориёнбанк"</v>
          </cell>
          <cell r="K184">
            <v>606600</v>
          </cell>
          <cell r="L184">
            <v>29795.05339805825</v>
          </cell>
          <cell r="M184">
            <v>0.9823624595469256</v>
          </cell>
          <cell r="N184">
            <v>595901.0679611651</v>
          </cell>
        </row>
        <row r="185">
          <cell r="A185">
            <v>2003</v>
          </cell>
          <cell r="B185">
            <v>1</v>
          </cell>
          <cell r="C185">
            <v>3</v>
          </cell>
          <cell r="D185">
            <v>0</v>
          </cell>
          <cell r="E185">
            <v>2</v>
          </cell>
          <cell r="F185" t="str">
            <v>USD</v>
          </cell>
          <cell r="G185">
            <v>0</v>
          </cell>
          <cell r="H185">
            <v>38934</v>
          </cell>
          <cell r="I185">
            <v>214</v>
          </cell>
          <cell r="J185" t="str">
            <v>ТАК ПСБ "Ориёнбанк"</v>
          </cell>
          <cell r="K185">
            <v>0</v>
          </cell>
          <cell r="L185">
            <v>38247.3</v>
          </cell>
          <cell r="M185">
            <v>0.9823624595469256</v>
          </cell>
          <cell r="N185">
            <v>0</v>
          </cell>
        </row>
        <row r="186">
          <cell r="A186">
            <v>2003</v>
          </cell>
          <cell r="B186">
            <v>2</v>
          </cell>
          <cell r="C186">
            <v>1</v>
          </cell>
          <cell r="D186">
            <v>0</v>
          </cell>
          <cell r="E186">
            <v>1</v>
          </cell>
          <cell r="F186" t="str">
            <v>TJS</v>
          </cell>
          <cell r="G186">
            <v>0</v>
          </cell>
          <cell r="H186">
            <v>98650</v>
          </cell>
          <cell r="I186">
            <v>6</v>
          </cell>
          <cell r="J186" t="str">
            <v>"Тиджорат" ИРИ</v>
          </cell>
          <cell r="K186">
            <v>0</v>
          </cell>
          <cell r="L186">
            <v>98650</v>
          </cell>
          <cell r="M186">
            <v>1</v>
          </cell>
          <cell r="N186">
            <v>0</v>
          </cell>
        </row>
        <row r="187">
          <cell r="A187">
            <v>2003</v>
          </cell>
          <cell r="B187">
            <v>2</v>
          </cell>
          <cell r="C187">
            <v>3</v>
          </cell>
          <cell r="D187">
            <v>0</v>
          </cell>
          <cell r="E187">
            <v>2</v>
          </cell>
          <cell r="F187" t="str">
            <v>USD</v>
          </cell>
          <cell r="G187">
            <v>0</v>
          </cell>
          <cell r="H187">
            <v>9413</v>
          </cell>
          <cell r="I187">
            <v>2</v>
          </cell>
          <cell r="J187" t="str">
            <v>"Тиджорат" ИРИ</v>
          </cell>
          <cell r="K187">
            <v>0</v>
          </cell>
          <cell r="L187">
            <v>9345.981877022654</v>
          </cell>
          <cell r="M187">
            <v>0.9928802588996765</v>
          </cell>
          <cell r="N187">
            <v>0</v>
          </cell>
        </row>
        <row r="188">
          <cell r="A188">
            <v>2003</v>
          </cell>
          <cell r="B188">
            <v>2</v>
          </cell>
          <cell r="C188">
            <v>1</v>
          </cell>
          <cell r="D188">
            <v>0</v>
          </cell>
          <cell r="E188">
            <v>1</v>
          </cell>
          <cell r="F188" t="str">
            <v>USD</v>
          </cell>
          <cell r="G188">
            <v>0</v>
          </cell>
          <cell r="H188">
            <v>1035178</v>
          </cell>
          <cell r="I188">
            <v>13</v>
          </cell>
          <cell r="J188" t="str">
            <v>"Тиджорат" ИРИ</v>
          </cell>
          <cell r="K188">
            <v>0</v>
          </cell>
          <cell r="L188">
            <v>1027807.8006472493</v>
          </cell>
          <cell r="M188">
            <v>0.9928802588996765</v>
          </cell>
          <cell r="N188">
            <v>0</v>
          </cell>
        </row>
        <row r="189">
          <cell r="A189">
            <v>2003</v>
          </cell>
          <cell r="B189">
            <v>2</v>
          </cell>
          <cell r="C189">
            <v>1</v>
          </cell>
          <cell r="D189">
            <v>0</v>
          </cell>
          <cell r="E189">
            <v>2</v>
          </cell>
          <cell r="F189" t="str">
            <v>USD</v>
          </cell>
          <cell r="G189">
            <v>0</v>
          </cell>
          <cell r="H189">
            <v>2004553</v>
          </cell>
          <cell r="I189">
            <v>32</v>
          </cell>
          <cell r="J189" t="str">
            <v>"Тиджорат" ИРИ</v>
          </cell>
          <cell r="K189">
            <v>0</v>
          </cell>
          <cell r="L189">
            <v>1990281.1016181232</v>
          </cell>
          <cell r="M189">
            <v>0.9928802588996765</v>
          </cell>
          <cell r="N189">
            <v>0</v>
          </cell>
        </row>
        <row r="190">
          <cell r="A190">
            <v>2003</v>
          </cell>
          <cell r="B190">
            <v>2</v>
          </cell>
          <cell r="C190">
            <v>3</v>
          </cell>
          <cell r="D190">
            <v>30</v>
          </cell>
          <cell r="E190">
            <v>1</v>
          </cell>
          <cell r="F190" t="str">
            <v>RUR</v>
          </cell>
          <cell r="G190">
            <v>6</v>
          </cell>
          <cell r="H190">
            <v>417</v>
          </cell>
          <cell r="I190">
            <v>1</v>
          </cell>
          <cell r="J190" t="str">
            <v>АК АПИБ "Агроинвестбанк"</v>
          </cell>
          <cell r="K190">
            <v>2502</v>
          </cell>
          <cell r="L190">
            <v>398.67348343329076</v>
          </cell>
          <cell r="M190">
            <v>0.9560515190246781</v>
          </cell>
          <cell r="N190">
            <v>2392.0409005997444</v>
          </cell>
        </row>
        <row r="191">
          <cell r="A191">
            <v>2003</v>
          </cell>
          <cell r="B191">
            <v>2</v>
          </cell>
          <cell r="C191">
            <v>1</v>
          </cell>
          <cell r="D191">
            <v>0</v>
          </cell>
          <cell r="E191">
            <v>2</v>
          </cell>
          <cell r="F191" t="str">
            <v>RUR</v>
          </cell>
          <cell r="G191">
            <v>6</v>
          </cell>
          <cell r="H191">
            <v>4165</v>
          </cell>
          <cell r="I191">
            <v>8</v>
          </cell>
          <cell r="J191" t="str">
            <v>АК АПИБ "Агроинвестбанк"</v>
          </cell>
          <cell r="K191">
            <v>24990</v>
          </cell>
          <cell r="L191">
            <v>3981.9545767377845</v>
          </cell>
          <cell r="M191">
            <v>0.9560515190246781</v>
          </cell>
          <cell r="N191">
            <v>23891.727460426708</v>
          </cell>
        </row>
        <row r="192">
          <cell r="A192">
            <v>2003</v>
          </cell>
          <cell r="B192">
            <v>2</v>
          </cell>
          <cell r="C192">
            <v>2</v>
          </cell>
          <cell r="D192">
            <v>0</v>
          </cell>
          <cell r="E192">
            <v>1</v>
          </cell>
          <cell r="F192" t="str">
            <v>RUR</v>
          </cell>
          <cell r="G192">
            <v>0</v>
          </cell>
          <cell r="H192">
            <v>8091148</v>
          </cell>
          <cell r="I192">
            <v>24</v>
          </cell>
          <cell r="J192" t="str">
            <v>АК АПИБ "Агроинвестбанк"</v>
          </cell>
          <cell r="K192">
            <v>0</v>
          </cell>
          <cell r="L192">
            <v>7735554.336053486</v>
          </cell>
          <cell r="M192">
            <v>0.9560515190246781</v>
          </cell>
          <cell r="N192">
            <v>0</v>
          </cell>
        </row>
        <row r="193">
          <cell r="A193">
            <v>2003</v>
          </cell>
          <cell r="B193">
            <v>2</v>
          </cell>
          <cell r="C193">
            <v>2</v>
          </cell>
          <cell r="D193">
            <v>30</v>
          </cell>
          <cell r="E193">
            <v>1</v>
          </cell>
          <cell r="F193" t="str">
            <v>TJS</v>
          </cell>
          <cell r="G193">
            <v>15</v>
          </cell>
          <cell r="H193">
            <v>990</v>
          </cell>
          <cell r="I193">
            <v>2</v>
          </cell>
          <cell r="J193" t="str">
            <v>АК АПИБ "Агроинвестбанк"</v>
          </cell>
          <cell r="K193">
            <v>14850</v>
          </cell>
          <cell r="L193">
            <v>990</v>
          </cell>
          <cell r="M193">
            <v>1</v>
          </cell>
          <cell r="N193">
            <v>14850</v>
          </cell>
        </row>
        <row r="194">
          <cell r="A194">
            <v>2003</v>
          </cell>
          <cell r="B194">
            <v>2</v>
          </cell>
          <cell r="C194">
            <v>1</v>
          </cell>
          <cell r="D194">
            <v>360</v>
          </cell>
          <cell r="E194">
            <v>2</v>
          </cell>
          <cell r="F194" t="str">
            <v>TJS</v>
          </cell>
          <cell r="G194">
            <v>20</v>
          </cell>
          <cell r="H194">
            <v>1600</v>
          </cell>
          <cell r="I194">
            <v>2</v>
          </cell>
          <cell r="J194" t="str">
            <v>АК АПИБ "Агроинвестбанк"</v>
          </cell>
          <cell r="K194">
            <v>32000</v>
          </cell>
          <cell r="L194">
            <v>1600</v>
          </cell>
          <cell r="M194">
            <v>1</v>
          </cell>
          <cell r="N194">
            <v>32000</v>
          </cell>
        </row>
        <row r="195">
          <cell r="A195">
            <v>2003</v>
          </cell>
          <cell r="B195">
            <v>2</v>
          </cell>
          <cell r="C195">
            <v>2</v>
          </cell>
          <cell r="D195">
            <v>90</v>
          </cell>
          <cell r="E195">
            <v>2</v>
          </cell>
          <cell r="F195" t="str">
            <v>TJS</v>
          </cell>
          <cell r="G195">
            <v>15</v>
          </cell>
          <cell r="H195">
            <v>2500</v>
          </cell>
          <cell r="I195">
            <v>2</v>
          </cell>
          <cell r="J195" t="str">
            <v>АК АПИБ "Агроинвестбанк"</v>
          </cell>
          <cell r="K195">
            <v>37500</v>
          </cell>
          <cell r="L195">
            <v>2500</v>
          </cell>
          <cell r="M195">
            <v>1</v>
          </cell>
          <cell r="N195">
            <v>37500</v>
          </cell>
        </row>
        <row r="196">
          <cell r="A196">
            <v>2003</v>
          </cell>
          <cell r="B196">
            <v>2</v>
          </cell>
          <cell r="C196">
            <v>2</v>
          </cell>
          <cell r="D196">
            <v>90</v>
          </cell>
          <cell r="E196">
            <v>1</v>
          </cell>
          <cell r="F196" t="str">
            <v>TJS</v>
          </cell>
          <cell r="G196">
            <v>15</v>
          </cell>
          <cell r="H196">
            <v>8740</v>
          </cell>
          <cell r="I196">
            <v>2</v>
          </cell>
          <cell r="J196" t="str">
            <v>АК АПИБ "Агроинвестбанк"</v>
          </cell>
          <cell r="K196">
            <v>131100</v>
          </cell>
          <cell r="L196">
            <v>8740</v>
          </cell>
          <cell r="M196">
            <v>1</v>
          </cell>
          <cell r="N196">
            <v>131100</v>
          </cell>
        </row>
        <row r="197">
          <cell r="A197">
            <v>2003</v>
          </cell>
          <cell r="B197">
            <v>2</v>
          </cell>
          <cell r="C197">
            <v>2</v>
          </cell>
          <cell r="D197">
            <v>180</v>
          </cell>
          <cell r="E197">
            <v>1</v>
          </cell>
          <cell r="F197" t="str">
            <v>TJS</v>
          </cell>
          <cell r="G197">
            <v>22</v>
          </cell>
          <cell r="H197">
            <v>16100</v>
          </cell>
          <cell r="I197">
            <v>3</v>
          </cell>
          <cell r="J197" t="str">
            <v>АК АПИБ "Агроинвестбанк"</v>
          </cell>
          <cell r="K197">
            <v>354200</v>
          </cell>
          <cell r="L197">
            <v>16100</v>
          </cell>
          <cell r="M197">
            <v>1</v>
          </cell>
          <cell r="N197">
            <v>354200</v>
          </cell>
        </row>
        <row r="198">
          <cell r="A198">
            <v>2003</v>
          </cell>
          <cell r="B198">
            <v>2</v>
          </cell>
          <cell r="C198">
            <v>3</v>
          </cell>
          <cell r="D198">
            <v>0</v>
          </cell>
          <cell r="E198">
            <v>2</v>
          </cell>
          <cell r="F198" t="str">
            <v>TJS</v>
          </cell>
          <cell r="G198">
            <v>12</v>
          </cell>
          <cell r="H198">
            <v>34629</v>
          </cell>
          <cell r="I198">
            <v>34</v>
          </cell>
          <cell r="J198" t="str">
            <v>АК АПИБ "Агроинвестбанк"</v>
          </cell>
          <cell r="K198">
            <v>415548</v>
          </cell>
          <cell r="L198">
            <v>34629</v>
          </cell>
          <cell r="M198">
            <v>1</v>
          </cell>
          <cell r="N198">
            <v>415548</v>
          </cell>
        </row>
        <row r="199">
          <cell r="A199">
            <v>2003</v>
          </cell>
          <cell r="B199">
            <v>2</v>
          </cell>
          <cell r="C199">
            <v>2</v>
          </cell>
          <cell r="D199">
            <v>360</v>
          </cell>
          <cell r="E199">
            <v>1</v>
          </cell>
          <cell r="F199" t="str">
            <v>TJS</v>
          </cell>
          <cell r="G199">
            <v>15</v>
          </cell>
          <cell r="H199">
            <v>36000</v>
          </cell>
          <cell r="I199">
            <v>2</v>
          </cell>
          <cell r="J199" t="str">
            <v>АК АПИБ "Агроинвестбанк"</v>
          </cell>
          <cell r="K199">
            <v>540000</v>
          </cell>
          <cell r="L199">
            <v>36000</v>
          </cell>
          <cell r="M199">
            <v>1</v>
          </cell>
          <cell r="N199">
            <v>540000</v>
          </cell>
        </row>
        <row r="200">
          <cell r="A200">
            <v>2003</v>
          </cell>
          <cell r="B200">
            <v>2</v>
          </cell>
          <cell r="C200">
            <v>2</v>
          </cell>
          <cell r="D200">
            <v>366</v>
          </cell>
          <cell r="E200">
            <v>1</v>
          </cell>
          <cell r="F200" t="str">
            <v>TJS</v>
          </cell>
          <cell r="G200">
            <v>15</v>
          </cell>
          <cell r="H200">
            <v>56300</v>
          </cell>
          <cell r="I200">
            <v>4</v>
          </cell>
          <cell r="J200" t="str">
            <v>АК АПИБ "Агроинвестбанк"</v>
          </cell>
          <cell r="K200">
            <v>844500</v>
          </cell>
          <cell r="L200">
            <v>56300</v>
          </cell>
          <cell r="M200">
            <v>1</v>
          </cell>
          <cell r="N200">
            <v>844500</v>
          </cell>
        </row>
        <row r="201">
          <cell r="A201">
            <v>2003</v>
          </cell>
          <cell r="B201">
            <v>2</v>
          </cell>
          <cell r="C201">
            <v>2</v>
          </cell>
          <cell r="D201">
            <v>0</v>
          </cell>
          <cell r="E201">
            <v>2</v>
          </cell>
          <cell r="F201" t="str">
            <v>TJS</v>
          </cell>
          <cell r="G201">
            <v>15</v>
          </cell>
          <cell r="H201">
            <v>64309</v>
          </cell>
          <cell r="I201">
            <v>32</v>
          </cell>
          <cell r="J201" t="str">
            <v>АК АПИБ "Агроинвестбанк"</v>
          </cell>
          <cell r="K201">
            <v>964635</v>
          </cell>
          <cell r="L201">
            <v>64309</v>
          </cell>
          <cell r="M201">
            <v>1</v>
          </cell>
          <cell r="N201">
            <v>964635</v>
          </cell>
        </row>
        <row r="202">
          <cell r="A202">
            <v>2003</v>
          </cell>
          <cell r="B202">
            <v>2</v>
          </cell>
          <cell r="C202">
            <v>1</v>
          </cell>
          <cell r="D202">
            <v>0</v>
          </cell>
          <cell r="E202">
            <v>2</v>
          </cell>
          <cell r="F202" t="str">
            <v>TJS</v>
          </cell>
          <cell r="G202">
            <v>0</v>
          </cell>
          <cell r="H202">
            <v>156162</v>
          </cell>
          <cell r="I202">
            <v>31</v>
          </cell>
          <cell r="J202" t="str">
            <v>АК АПИБ "Агроинвестбанк"</v>
          </cell>
          <cell r="K202">
            <v>0</v>
          </cell>
          <cell r="L202">
            <v>156162</v>
          </cell>
          <cell r="M202">
            <v>1</v>
          </cell>
          <cell r="N202">
            <v>0</v>
          </cell>
        </row>
        <row r="203">
          <cell r="A203">
            <v>2003</v>
          </cell>
          <cell r="B203">
            <v>2</v>
          </cell>
          <cell r="C203">
            <v>1</v>
          </cell>
          <cell r="D203">
            <v>0</v>
          </cell>
          <cell r="E203">
            <v>1</v>
          </cell>
          <cell r="F203" t="str">
            <v>TJS</v>
          </cell>
          <cell r="G203">
            <v>0</v>
          </cell>
          <cell r="H203">
            <v>56255218</v>
          </cell>
          <cell r="I203">
            <v>1244</v>
          </cell>
          <cell r="J203" t="str">
            <v>АК АПИБ "Агроинвестбанк"</v>
          </cell>
          <cell r="K203">
            <v>0</v>
          </cell>
          <cell r="L203">
            <v>56255218</v>
          </cell>
          <cell r="M203">
            <v>1</v>
          </cell>
          <cell r="N203">
            <v>0</v>
          </cell>
        </row>
        <row r="204">
          <cell r="A204">
            <v>2003</v>
          </cell>
          <cell r="B204">
            <v>2</v>
          </cell>
          <cell r="C204">
            <v>2</v>
          </cell>
          <cell r="D204">
            <v>366</v>
          </cell>
          <cell r="E204">
            <v>1</v>
          </cell>
          <cell r="F204" t="str">
            <v>USD</v>
          </cell>
          <cell r="G204">
            <v>1.5</v>
          </cell>
          <cell r="H204">
            <v>379</v>
          </cell>
          <cell r="I204">
            <v>2</v>
          </cell>
          <cell r="J204" t="str">
            <v>АК АПИБ "Агроинвестбанк"</v>
          </cell>
          <cell r="K204">
            <v>568.5</v>
          </cell>
          <cell r="L204">
            <v>376.3016181229774</v>
          </cell>
          <cell r="M204">
            <v>0.9928802588996765</v>
          </cell>
          <cell r="N204">
            <v>564.452427184466</v>
          </cell>
        </row>
        <row r="205">
          <cell r="A205">
            <v>2003</v>
          </cell>
          <cell r="B205">
            <v>2</v>
          </cell>
          <cell r="C205">
            <v>2</v>
          </cell>
          <cell r="D205">
            <v>360</v>
          </cell>
          <cell r="E205">
            <v>2</v>
          </cell>
          <cell r="F205" t="str">
            <v>USD</v>
          </cell>
          <cell r="G205">
            <v>12</v>
          </cell>
          <cell r="H205">
            <v>3214</v>
          </cell>
          <cell r="I205">
            <v>4</v>
          </cell>
          <cell r="J205" t="str">
            <v>АК АПИБ "Агроинвестбанк"</v>
          </cell>
          <cell r="K205">
            <v>38568</v>
          </cell>
          <cell r="L205">
            <v>3191.1171521035603</v>
          </cell>
          <cell r="M205">
            <v>0.9928802588996765</v>
          </cell>
          <cell r="N205">
            <v>38293.40582524272</v>
          </cell>
        </row>
        <row r="206">
          <cell r="A206">
            <v>2003</v>
          </cell>
          <cell r="B206">
            <v>2</v>
          </cell>
          <cell r="C206">
            <v>3</v>
          </cell>
          <cell r="D206">
            <v>0</v>
          </cell>
          <cell r="E206">
            <v>1</v>
          </cell>
          <cell r="F206" t="str">
            <v>USD</v>
          </cell>
          <cell r="G206">
            <v>6.5</v>
          </cell>
          <cell r="H206">
            <v>3374</v>
          </cell>
          <cell r="I206">
            <v>3</v>
          </cell>
          <cell r="J206" t="str">
            <v>АК АПИБ "Агроинвестбанк"</v>
          </cell>
          <cell r="K206">
            <v>21931</v>
          </cell>
          <cell r="L206">
            <v>3349.9779935275083</v>
          </cell>
          <cell r="M206">
            <v>0.9928802588996765</v>
          </cell>
          <cell r="N206">
            <v>21774.856957928805</v>
          </cell>
        </row>
        <row r="207">
          <cell r="A207">
            <v>2003</v>
          </cell>
          <cell r="B207">
            <v>2</v>
          </cell>
          <cell r="C207">
            <v>2</v>
          </cell>
          <cell r="D207">
            <v>90</v>
          </cell>
          <cell r="E207">
            <v>2</v>
          </cell>
          <cell r="F207" t="str">
            <v>USD</v>
          </cell>
          <cell r="G207">
            <v>6.5</v>
          </cell>
          <cell r="H207">
            <v>35760</v>
          </cell>
          <cell r="I207">
            <v>7</v>
          </cell>
          <cell r="J207" t="str">
            <v>АК АПИБ "Агроинвестбанк"</v>
          </cell>
          <cell r="K207">
            <v>232440</v>
          </cell>
          <cell r="L207">
            <v>35505.39805825243</v>
          </cell>
          <cell r="M207">
            <v>0.9928802588996765</v>
          </cell>
          <cell r="N207">
            <v>230785.0873786408</v>
          </cell>
        </row>
        <row r="208">
          <cell r="A208">
            <v>2003</v>
          </cell>
          <cell r="B208">
            <v>2</v>
          </cell>
          <cell r="C208">
            <v>2</v>
          </cell>
          <cell r="D208">
            <v>366</v>
          </cell>
          <cell r="E208">
            <v>2</v>
          </cell>
          <cell r="F208" t="str">
            <v>USD</v>
          </cell>
          <cell r="G208">
            <v>12</v>
          </cell>
          <cell r="H208">
            <v>67823</v>
          </cell>
          <cell r="I208">
            <v>1</v>
          </cell>
          <cell r="J208" t="str">
            <v>АК АПИБ "Агроинвестбанк"</v>
          </cell>
          <cell r="K208">
            <v>813876</v>
          </cell>
          <cell r="L208">
            <v>67340.11779935275</v>
          </cell>
          <cell r="M208">
            <v>0.9928802588996765</v>
          </cell>
          <cell r="N208">
            <v>808081.4135922331</v>
          </cell>
        </row>
        <row r="209">
          <cell r="A209">
            <v>2003</v>
          </cell>
          <cell r="B209">
            <v>2</v>
          </cell>
          <cell r="C209">
            <v>2</v>
          </cell>
          <cell r="D209">
            <v>360</v>
          </cell>
          <cell r="E209">
            <v>1</v>
          </cell>
          <cell r="F209" t="str">
            <v>USD</v>
          </cell>
          <cell r="G209">
            <v>7</v>
          </cell>
          <cell r="H209">
            <v>122720</v>
          </cell>
          <cell r="I209">
            <v>4</v>
          </cell>
          <cell r="J209" t="str">
            <v>АК АПИБ "Агроинвестбанк"</v>
          </cell>
          <cell r="K209">
            <v>859040</v>
          </cell>
          <cell r="L209">
            <v>121846.2653721683</v>
          </cell>
          <cell r="M209">
            <v>0.9928802588996765</v>
          </cell>
          <cell r="N209">
            <v>852923.857605178</v>
          </cell>
        </row>
        <row r="210">
          <cell r="A210">
            <v>2003</v>
          </cell>
          <cell r="B210">
            <v>2</v>
          </cell>
          <cell r="C210">
            <v>2</v>
          </cell>
          <cell r="D210">
            <v>180</v>
          </cell>
          <cell r="E210">
            <v>2</v>
          </cell>
          <cell r="F210" t="str">
            <v>USD</v>
          </cell>
          <cell r="G210">
            <v>7</v>
          </cell>
          <cell r="H210">
            <v>131118</v>
          </cell>
          <cell r="I210">
            <v>14</v>
          </cell>
          <cell r="J210" t="str">
            <v>АК АПИБ "Агроинвестбанк"</v>
          </cell>
          <cell r="K210">
            <v>917826</v>
          </cell>
          <cell r="L210">
            <v>130184.47378640778</v>
          </cell>
          <cell r="M210">
            <v>0.9928802588996765</v>
          </cell>
          <cell r="N210">
            <v>911291.3165048545</v>
          </cell>
        </row>
        <row r="211">
          <cell r="A211">
            <v>2003</v>
          </cell>
          <cell r="B211">
            <v>2</v>
          </cell>
          <cell r="C211">
            <v>3</v>
          </cell>
          <cell r="D211">
            <v>0</v>
          </cell>
          <cell r="E211">
            <v>2</v>
          </cell>
          <cell r="F211" t="str">
            <v>USD</v>
          </cell>
          <cell r="G211">
            <v>0</v>
          </cell>
          <cell r="H211">
            <v>239460</v>
          </cell>
          <cell r="I211">
            <v>10</v>
          </cell>
          <cell r="J211" t="str">
            <v>АК АПИБ "Агроинвестбанк"</v>
          </cell>
          <cell r="K211">
            <v>0</v>
          </cell>
          <cell r="L211">
            <v>237755.10679611654</v>
          </cell>
          <cell r="M211">
            <v>0.9928802588996765</v>
          </cell>
          <cell r="N211">
            <v>0</v>
          </cell>
        </row>
        <row r="212">
          <cell r="A212">
            <v>2003</v>
          </cell>
          <cell r="B212">
            <v>2</v>
          </cell>
          <cell r="C212">
            <v>2</v>
          </cell>
          <cell r="D212">
            <v>0</v>
          </cell>
          <cell r="E212">
            <v>2</v>
          </cell>
          <cell r="F212" t="str">
            <v>USD</v>
          </cell>
          <cell r="G212">
            <v>6.5</v>
          </cell>
          <cell r="H212">
            <v>608510</v>
          </cell>
          <cell r="I212">
            <v>34</v>
          </cell>
          <cell r="J212" t="str">
            <v>АК АПИБ "Агроинвестбанк"</v>
          </cell>
          <cell r="K212">
            <v>3955315</v>
          </cell>
          <cell r="L212">
            <v>604177.5663430421</v>
          </cell>
          <cell r="M212">
            <v>0.9928802588996765</v>
          </cell>
          <cell r="N212">
            <v>3927154.181229774</v>
          </cell>
        </row>
        <row r="213">
          <cell r="A213">
            <v>2003</v>
          </cell>
          <cell r="B213">
            <v>2</v>
          </cell>
          <cell r="C213">
            <v>1</v>
          </cell>
          <cell r="D213">
            <v>0</v>
          </cell>
          <cell r="E213">
            <v>1</v>
          </cell>
          <cell r="F213" t="str">
            <v>USD</v>
          </cell>
          <cell r="G213">
            <v>0</v>
          </cell>
          <cell r="H213">
            <v>12896854</v>
          </cell>
          <cell r="I213">
            <v>158</v>
          </cell>
          <cell r="J213" t="str">
            <v>АК АПИБ "Агроинвестбанк"</v>
          </cell>
          <cell r="K213">
            <v>0</v>
          </cell>
          <cell r="L213">
            <v>12805031.738511328</v>
          </cell>
          <cell r="M213">
            <v>0.9928802588996765</v>
          </cell>
          <cell r="N213">
            <v>0</v>
          </cell>
        </row>
        <row r="214">
          <cell r="A214">
            <v>2003</v>
          </cell>
          <cell r="B214">
            <v>2</v>
          </cell>
          <cell r="C214">
            <v>1</v>
          </cell>
          <cell r="D214">
            <v>0</v>
          </cell>
          <cell r="E214">
            <v>1</v>
          </cell>
          <cell r="F214" t="str">
            <v>RUR</v>
          </cell>
          <cell r="G214">
            <v>0</v>
          </cell>
          <cell r="H214">
            <v>76089</v>
          </cell>
          <cell r="I214">
            <v>4</v>
          </cell>
          <cell r="J214" t="str">
            <v>АКБ  СП "Сохибкорбанк"</v>
          </cell>
          <cell r="K214">
            <v>0</v>
          </cell>
          <cell r="L214">
            <v>72745.00403106873</v>
          </cell>
          <cell r="M214">
            <v>0.9560515190246781</v>
          </cell>
          <cell r="N214">
            <v>0</v>
          </cell>
        </row>
        <row r="215">
          <cell r="A215">
            <v>2003</v>
          </cell>
          <cell r="B215">
            <v>2</v>
          </cell>
          <cell r="C215">
            <v>1</v>
          </cell>
          <cell r="D215">
            <v>0</v>
          </cell>
          <cell r="E215">
            <v>1</v>
          </cell>
          <cell r="F215" t="str">
            <v>TJS</v>
          </cell>
          <cell r="G215">
            <v>0</v>
          </cell>
          <cell r="H215">
            <v>2784219</v>
          </cell>
          <cell r="I215">
            <v>61</v>
          </cell>
          <cell r="J215" t="str">
            <v>АКБ  СП "Сохибкорбанк"</v>
          </cell>
          <cell r="K215">
            <v>0</v>
          </cell>
          <cell r="L215">
            <v>2784219</v>
          </cell>
          <cell r="M215">
            <v>1</v>
          </cell>
          <cell r="N215">
            <v>0</v>
          </cell>
        </row>
        <row r="216">
          <cell r="A216">
            <v>2003</v>
          </cell>
          <cell r="B216">
            <v>2</v>
          </cell>
          <cell r="C216">
            <v>3</v>
          </cell>
          <cell r="D216">
            <v>300</v>
          </cell>
          <cell r="E216">
            <v>1</v>
          </cell>
          <cell r="F216" t="str">
            <v>TJS</v>
          </cell>
          <cell r="G216">
            <v>25</v>
          </cell>
          <cell r="H216">
            <v>31570</v>
          </cell>
          <cell r="I216">
            <v>1</v>
          </cell>
          <cell r="J216" t="str">
            <v>АКБ  СП "Сохибкорбанк"</v>
          </cell>
          <cell r="K216">
            <v>789250</v>
          </cell>
          <cell r="L216">
            <v>31570</v>
          </cell>
          <cell r="M216">
            <v>1</v>
          </cell>
          <cell r="N216">
            <v>789250</v>
          </cell>
        </row>
        <row r="217">
          <cell r="A217">
            <v>2003</v>
          </cell>
          <cell r="B217">
            <v>2</v>
          </cell>
          <cell r="C217">
            <v>3</v>
          </cell>
          <cell r="D217">
            <v>30</v>
          </cell>
          <cell r="E217">
            <v>2</v>
          </cell>
          <cell r="F217" t="str">
            <v>TJS</v>
          </cell>
          <cell r="G217">
            <v>5</v>
          </cell>
          <cell r="H217">
            <v>22019</v>
          </cell>
          <cell r="I217">
            <v>3</v>
          </cell>
          <cell r="J217" t="str">
            <v>АКБ  СП "Сохибкорбанк"</v>
          </cell>
          <cell r="K217">
            <v>110095</v>
          </cell>
          <cell r="L217">
            <v>22019</v>
          </cell>
          <cell r="M217">
            <v>1</v>
          </cell>
          <cell r="N217">
            <v>110095</v>
          </cell>
        </row>
        <row r="218">
          <cell r="A218">
            <v>2003</v>
          </cell>
          <cell r="B218">
            <v>2</v>
          </cell>
          <cell r="C218">
            <v>1</v>
          </cell>
          <cell r="D218">
            <v>0</v>
          </cell>
          <cell r="E218">
            <v>1</v>
          </cell>
          <cell r="F218" t="str">
            <v>USD</v>
          </cell>
          <cell r="G218">
            <v>0</v>
          </cell>
          <cell r="H218">
            <v>1436454</v>
          </cell>
          <cell r="I218">
            <v>12</v>
          </cell>
          <cell r="J218" t="str">
            <v>АКБ  СП "Сохибкорбанк"</v>
          </cell>
          <cell r="K218">
            <v>0</v>
          </cell>
          <cell r="L218">
            <v>1426226.819417476</v>
          </cell>
          <cell r="M218">
            <v>0.9928802588996765</v>
          </cell>
          <cell r="N218">
            <v>0</v>
          </cell>
        </row>
        <row r="219">
          <cell r="A219">
            <v>2003</v>
          </cell>
          <cell r="B219">
            <v>2</v>
          </cell>
          <cell r="C219">
            <v>2</v>
          </cell>
          <cell r="D219">
            <v>330</v>
          </cell>
          <cell r="E219">
            <v>2</v>
          </cell>
          <cell r="F219" t="str">
            <v>USD</v>
          </cell>
          <cell r="G219">
            <v>18</v>
          </cell>
          <cell r="H219">
            <v>490</v>
          </cell>
          <cell r="I219">
            <v>1</v>
          </cell>
          <cell r="J219" t="str">
            <v>АКБ  СП "Сохибкорбанк"</v>
          </cell>
          <cell r="K219">
            <v>8820</v>
          </cell>
          <cell r="L219">
            <v>486.51132686084145</v>
          </cell>
          <cell r="M219">
            <v>0.9928802588996765</v>
          </cell>
          <cell r="N219">
            <v>8757.203883495147</v>
          </cell>
        </row>
        <row r="220">
          <cell r="A220">
            <v>2003</v>
          </cell>
          <cell r="B220">
            <v>2</v>
          </cell>
          <cell r="C220">
            <v>1</v>
          </cell>
          <cell r="D220">
            <v>0</v>
          </cell>
          <cell r="E220">
            <v>2</v>
          </cell>
          <cell r="F220" t="str">
            <v>TJS</v>
          </cell>
          <cell r="G220">
            <v>0</v>
          </cell>
          <cell r="H220">
            <v>1880</v>
          </cell>
          <cell r="I220">
            <v>2</v>
          </cell>
          <cell r="J220" t="str">
            <v>АКБ "Ганчина"</v>
          </cell>
          <cell r="K220">
            <v>0</v>
          </cell>
          <cell r="L220">
            <v>1880</v>
          </cell>
          <cell r="M220">
            <v>1</v>
          </cell>
          <cell r="N220">
            <v>0</v>
          </cell>
        </row>
        <row r="221">
          <cell r="A221">
            <v>2003</v>
          </cell>
          <cell r="B221">
            <v>2</v>
          </cell>
          <cell r="C221">
            <v>1</v>
          </cell>
          <cell r="D221">
            <v>0</v>
          </cell>
          <cell r="E221">
            <v>1</v>
          </cell>
          <cell r="F221" t="str">
            <v>TJS</v>
          </cell>
          <cell r="G221">
            <v>0</v>
          </cell>
          <cell r="H221">
            <v>246910</v>
          </cell>
          <cell r="I221">
            <v>25</v>
          </cell>
          <cell r="J221" t="str">
            <v>АКБ "Ганчина"</v>
          </cell>
          <cell r="K221">
            <v>0</v>
          </cell>
          <cell r="L221">
            <v>246910</v>
          </cell>
          <cell r="M221">
            <v>1</v>
          </cell>
          <cell r="N221">
            <v>0</v>
          </cell>
        </row>
        <row r="222">
          <cell r="A222">
            <v>2003</v>
          </cell>
          <cell r="B222">
            <v>2</v>
          </cell>
          <cell r="C222">
            <v>1</v>
          </cell>
          <cell r="D222">
            <v>0</v>
          </cell>
          <cell r="E222">
            <v>2</v>
          </cell>
          <cell r="F222" t="str">
            <v>EURO</v>
          </cell>
          <cell r="G222">
            <v>0</v>
          </cell>
          <cell r="H222">
            <v>661</v>
          </cell>
          <cell r="I222">
            <v>1</v>
          </cell>
          <cell r="J222" t="str">
            <v>АКБ "Эсхата"</v>
          </cell>
          <cell r="K222">
            <v>0</v>
          </cell>
          <cell r="L222">
            <v>607.0070618327402</v>
          </cell>
          <cell r="M222">
            <v>0.91831628113879</v>
          </cell>
          <cell r="N222">
            <v>0</v>
          </cell>
        </row>
        <row r="223">
          <cell r="A223">
            <v>2003</v>
          </cell>
          <cell r="B223">
            <v>2</v>
          </cell>
          <cell r="C223">
            <v>1</v>
          </cell>
          <cell r="D223">
            <v>0</v>
          </cell>
          <cell r="E223">
            <v>1</v>
          </cell>
          <cell r="F223" t="str">
            <v>RUR</v>
          </cell>
          <cell r="G223">
            <v>0</v>
          </cell>
          <cell r="H223">
            <v>452676</v>
          </cell>
          <cell r="I223">
            <v>13</v>
          </cell>
          <cell r="J223" t="str">
            <v>АКБ "Эсхата"</v>
          </cell>
          <cell r="K223">
            <v>0</v>
          </cell>
          <cell r="L223">
            <v>432781.57742601517</v>
          </cell>
          <cell r="M223">
            <v>0.9560515190246781</v>
          </cell>
          <cell r="N223">
            <v>0</v>
          </cell>
        </row>
        <row r="224">
          <cell r="A224">
            <v>2003</v>
          </cell>
          <cell r="B224">
            <v>2</v>
          </cell>
          <cell r="C224">
            <v>1</v>
          </cell>
          <cell r="D224">
            <v>0</v>
          </cell>
          <cell r="E224">
            <v>2</v>
          </cell>
          <cell r="F224" t="str">
            <v>TJS</v>
          </cell>
          <cell r="G224">
            <v>0</v>
          </cell>
          <cell r="H224">
            <v>1658161</v>
          </cell>
          <cell r="I224">
            <v>29</v>
          </cell>
          <cell r="J224" t="str">
            <v>АКБ "Эсхата"</v>
          </cell>
          <cell r="K224">
            <v>0</v>
          </cell>
          <cell r="L224">
            <v>1658161</v>
          </cell>
          <cell r="M224">
            <v>1</v>
          </cell>
          <cell r="N224">
            <v>0</v>
          </cell>
        </row>
        <row r="225">
          <cell r="A225">
            <v>2003</v>
          </cell>
          <cell r="B225">
            <v>2</v>
          </cell>
          <cell r="C225">
            <v>1</v>
          </cell>
          <cell r="D225">
            <v>0</v>
          </cell>
          <cell r="E225">
            <v>1</v>
          </cell>
          <cell r="F225" t="str">
            <v>TJS</v>
          </cell>
          <cell r="G225">
            <v>0</v>
          </cell>
          <cell r="H225">
            <v>10263995</v>
          </cell>
          <cell r="I225">
            <v>214</v>
          </cell>
          <cell r="J225" t="str">
            <v>АКБ "Эсхата"</v>
          </cell>
          <cell r="K225">
            <v>0</v>
          </cell>
          <cell r="L225">
            <v>10263995</v>
          </cell>
          <cell r="M225">
            <v>1</v>
          </cell>
          <cell r="N225">
            <v>0</v>
          </cell>
        </row>
        <row r="226">
          <cell r="A226">
            <v>2003</v>
          </cell>
          <cell r="B226">
            <v>2</v>
          </cell>
          <cell r="C226">
            <v>2</v>
          </cell>
          <cell r="D226">
            <v>270</v>
          </cell>
          <cell r="E226">
            <v>2</v>
          </cell>
          <cell r="F226" t="str">
            <v>USD</v>
          </cell>
          <cell r="G226">
            <v>15</v>
          </cell>
          <cell r="H226">
            <v>614</v>
          </cell>
          <cell r="I226">
            <v>1</v>
          </cell>
          <cell r="J226" t="str">
            <v>АКБ "Эсхата"</v>
          </cell>
          <cell r="K226">
            <v>9210</v>
          </cell>
          <cell r="L226">
            <v>609.6284789644013</v>
          </cell>
          <cell r="M226">
            <v>0.9928802588996765</v>
          </cell>
          <cell r="N226">
            <v>9144.42718446602</v>
          </cell>
        </row>
        <row r="227">
          <cell r="A227">
            <v>2003</v>
          </cell>
          <cell r="B227">
            <v>2</v>
          </cell>
          <cell r="C227">
            <v>2</v>
          </cell>
          <cell r="D227">
            <v>360</v>
          </cell>
          <cell r="E227">
            <v>2</v>
          </cell>
          <cell r="F227" t="str">
            <v>USD</v>
          </cell>
          <cell r="G227">
            <v>15</v>
          </cell>
          <cell r="H227">
            <v>3068</v>
          </cell>
          <cell r="I227">
            <v>1</v>
          </cell>
          <cell r="J227" t="str">
            <v>АКБ "Эсхата"</v>
          </cell>
          <cell r="K227">
            <v>46020</v>
          </cell>
          <cell r="L227">
            <v>3046.1566343042073</v>
          </cell>
          <cell r="M227">
            <v>0.9928802588996765</v>
          </cell>
          <cell r="N227">
            <v>45692.34951456311</v>
          </cell>
        </row>
        <row r="228">
          <cell r="A228">
            <v>2003</v>
          </cell>
          <cell r="B228">
            <v>2</v>
          </cell>
          <cell r="C228">
            <v>2</v>
          </cell>
          <cell r="D228">
            <v>540</v>
          </cell>
          <cell r="E228">
            <v>2</v>
          </cell>
          <cell r="F228" t="str">
            <v>USD</v>
          </cell>
          <cell r="G228">
            <v>18</v>
          </cell>
          <cell r="H228">
            <v>9204</v>
          </cell>
          <cell r="I228">
            <v>1</v>
          </cell>
          <cell r="J228" t="str">
            <v>АКБ "Эсхата"</v>
          </cell>
          <cell r="K228">
            <v>165672</v>
          </cell>
          <cell r="L228">
            <v>9138.469902912622</v>
          </cell>
          <cell r="M228">
            <v>0.9928802588996765</v>
          </cell>
          <cell r="N228">
            <v>164492.4582524272</v>
          </cell>
        </row>
        <row r="229">
          <cell r="A229">
            <v>2003</v>
          </cell>
          <cell r="B229">
            <v>2</v>
          </cell>
          <cell r="C229">
            <v>2</v>
          </cell>
          <cell r="D229">
            <v>420</v>
          </cell>
          <cell r="E229">
            <v>2</v>
          </cell>
          <cell r="F229" t="str">
            <v>USD</v>
          </cell>
          <cell r="G229">
            <v>15</v>
          </cell>
          <cell r="H229">
            <v>9204</v>
          </cell>
          <cell r="I229">
            <v>2</v>
          </cell>
          <cell r="J229" t="str">
            <v>АКБ "Эсхата"</v>
          </cell>
          <cell r="K229">
            <v>138060</v>
          </cell>
          <cell r="L229">
            <v>9138.469902912622</v>
          </cell>
          <cell r="M229">
            <v>0.9928802588996765</v>
          </cell>
          <cell r="N229">
            <v>137077.04854368934</v>
          </cell>
        </row>
        <row r="230">
          <cell r="A230">
            <v>2003</v>
          </cell>
          <cell r="B230">
            <v>2</v>
          </cell>
          <cell r="C230">
            <v>1</v>
          </cell>
          <cell r="D230">
            <v>0</v>
          </cell>
          <cell r="E230">
            <v>2</v>
          </cell>
          <cell r="F230" t="str">
            <v>USD</v>
          </cell>
          <cell r="G230">
            <v>0</v>
          </cell>
          <cell r="H230">
            <v>656058</v>
          </cell>
          <cell r="I230">
            <v>3</v>
          </cell>
          <cell r="J230" t="str">
            <v>АКБ "Эсхата"</v>
          </cell>
          <cell r="K230">
            <v>0</v>
          </cell>
          <cell r="L230">
            <v>651387.036893204</v>
          </cell>
          <cell r="M230">
            <v>0.9928802588996765</v>
          </cell>
          <cell r="N230">
            <v>0</v>
          </cell>
        </row>
        <row r="231">
          <cell r="A231">
            <v>2003</v>
          </cell>
          <cell r="B231">
            <v>2</v>
          </cell>
          <cell r="C231">
            <v>1</v>
          </cell>
          <cell r="D231">
            <v>0</v>
          </cell>
          <cell r="E231">
            <v>1</v>
          </cell>
          <cell r="F231" t="str">
            <v>USD</v>
          </cell>
          <cell r="G231">
            <v>0</v>
          </cell>
          <cell r="H231">
            <v>5206389</v>
          </cell>
          <cell r="I231">
            <v>53</v>
          </cell>
          <cell r="J231" t="str">
            <v>АКБ "Эсхата"</v>
          </cell>
          <cell r="K231">
            <v>0</v>
          </cell>
          <cell r="L231">
            <v>5169320.858252428</v>
          </cell>
          <cell r="M231">
            <v>0.9928802588996765</v>
          </cell>
          <cell r="N231">
            <v>0</v>
          </cell>
        </row>
        <row r="232">
          <cell r="A232">
            <v>2003</v>
          </cell>
          <cell r="B232">
            <v>2</v>
          </cell>
          <cell r="C232">
            <v>2</v>
          </cell>
          <cell r="D232">
            <v>360</v>
          </cell>
          <cell r="E232">
            <v>2</v>
          </cell>
          <cell r="F232" t="str">
            <v>TJS</v>
          </cell>
          <cell r="G232">
            <v>10</v>
          </cell>
          <cell r="H232">
            <v>22</v>
          </cell>
          <cell r="I232">
            <v>1</v>
          </cell>
          <cell r="J232" t="str">
            <v>АОЗТ "Кафолат"</v>
          </cell>
          <cell r="K232">
            <v>220</v>
          </cell>
          <cell r="L232">
            <v>22</v>
          </cell>
          <cell r="M232">
            <v>1</v>
          </cell>
          <cell r="N232">
            <v>220</v>
          </cell>
        </row>
        <row r="233">
          <cell r="A233">
            <v>2003</v>
          </cell>
          <cell r="B233">
            <v>2</v>
          </cell>
          <cell r="C233">
            <v>2</v>
          </cell>
          <cell r="D233">
            <v>90</v>
          </cell>
          <cell r="E233">
            <v>1</v>
          </cell>
          <cell r="F233" t="str">
            <v>TJS</v>
          </cell>
          <cell r="G233">
            <v>20</v>
          </cell>
          <cell r="H233">
            <v>542</v>
          </cell>
          <cell r="I233">
            <v>1</v>
          </cell>
          <cell r="J233" t="str">
            <v>АОЗТ "Кафолат"</v>
          </cell>
          <cell r="K233">
            <v>10840</v>
          </cell>
          <cell r="L233">
            <v>542</v>
          </cell>
          <cell r="M233">
            <v>1</v>
          </cell>
          <cell r="N233">
            <v>10840</v>
          </cell>
        </row>
        <row r="234">
          <cell r="A234">
            <v>2003</v>
          </cell>
          <cell r="B234">
            <v>2</v>
          </cell>
          <cell r="C234">
            <v>2</v>
          </cell>
          <cell r="D234">
            <v>360</v>
          </cell>
          <cell r="E234">
            <v>2</v>
          </cell>
          <cell r="F234" t="str">
            <v>TJS</v>
          </cell>
          <cell r="G234">
            <v>5</v>
          </cell>
          <cell r="H234">
            <v>2014</v>
          </cell>
          <cell r="I234">
            <v>2</v>
          </cell>
          <cell r="J234" t="str">
            <v>АОЗТ "Кафолат"</v>
          </cell>
          <cell r="K234">
            <v>10070</v>
          </cell>
          <cell r="L234">
            <v>2014</v>
          </cell>
          <cell r="M234">
            <v>1</v>
          </cell>
          <cell r="N234">
            <v>10070</v>
          </cell>
        </row>
        <row r="235">
          <cell r="A235">
            <v>2003</v>
          </cell>
          <cell r="B235">
            <v>2</v>
          </cell>
          <cell r="C235">
            <v>3</v>
          </cell>
          <cell r="D235">
            <v>0</v>
          </cell>
          <cell r="E235">
            <v>1</v>
          </cell>
          <cell r="F235" t="str">
            <v>TJS</v>
          </cell>
          <cell r="G235">
            <v>0.5</v>
          </cell>
          <cell r="H235">
            <v>2298</v>
          </cell>
          <cell r="I235">
            <v>7</v>
          </cell>
          <cell r="J235" t="str">
            <v>АОЗТ "Кафолат"</v>
          </cell>
          <cell r="K235">
            <v>1149</v>
          </cell>
          <cell r="L235">
            <v>2298</v>
          </cell>
          <cell r="M235">
            <v>1</v>
          </cell>
          <cell r="N235">
            <v>1149</v>
          </cell>
        </row>
        <row r="236">
          <cell r="A236">
            <v>2003</v>
          </cell>
          <cell r="B236">
            <v>2</v>
          </cell>
          <cell r="C236">
            <v>2</v>
          </cell>
          <cell r="D236">
            <v>360</v>
          </cell>
          <cell r="E236">
            <v>2</v>
          </cell>
          <cell r="F236" t="str">
            <v>TJS</v>
          </cell>
          <cell r="G236">
            <v>24</v>
          </cell>
          <cell r="H236">
            <v>5000</v>
          </cell>
          <cell r="I236">
            <v>1</v>
          </cell>
          <cell r="J236" t="str">
            <v>АОЗТ "Кафолат"</v>
          </cell>
          <cell r="K236">
            <v>120000</v>
          </cell>
          <cell r="L236">
            <v>5000</v>
          </cell>
          <cell r="M236">
            <v>1</v>
          </cell>
          <cell r="N236">
            <v>120000</v>
          </cell>
        </row>
        <row r="237">
          <cell r="A237">
            <v>2003</v>
          </cell>
          <cell r="B237">
            <v>2</v>
          </cell>
          <cell r="C237">
            <v>3</v>
          </cell>
          <cell r="D237">
            <v>0</v>
          </cell>
          <cell r="E237">
            <v>2</v>
          </cell>
          <cell r="F237" t="str">
            <v>TJS</v>
          </cell>
          <cell r="G237">
            <v>0.5</v>
          </cell>
          <cell r="H237">
            <v>8188</v>
          </cell>
          <cell r="I237">
            <v>5</v>
          </cell>
          <cell r="J237" t="str">
            <v>АОЗТ "Кафолат"</v>
          </cell>
          <cell r="K237">
            <v>4094</v>
          </cell>
          <cell r="L237">
            <v>8188</v>
          </cell>
          <cell r="M237">
            <v>1</v>
          </cell>
          <cell r="N237">
            <v>4094</v>
          </cell>
        </row>
        <row r="238">
          <cell r="A238">
            <v>2003</v>
          </cell>
          <cell r="B238">
            <v>2</v>
          </cell>
          <cell r="C238">
            <v>1</v>
          </cell>
          <cell r="D238">
            <v>0</v>
          </cell>
          <cell r="E238">
            <v>2</v>
          </cell>
          <cell r="F238" t="str">
            <v>TJS</v>
          </cell>
          <cell r="G238">
            <v>0.5</v>
          </cell>
          <cell r="H238">
            <v>103217</v>
          </cell>
          <cell r="I238">
            <v>10</v>
          </cell>
          <cell r="J238" t="str">
            <v>АОЗТ "Кафолат"</v>
          </cell>
          <cell r="K238">
            <v>51608.5</v>
          </cell>
          <cell r="L238">
            <v>103217</v>
          </cell>
          <cell r="M238">
            <v>1</v>
          </cell>
          <cell r="N238">
            <v>51608.5</v>
          </cell>
        </row>
        <row r="239">
          <cell r="A239">
            <v>2003</v>
          </cell>
          <cell r="B239">
            <v>2</v>
          </cell>
          <cell r="C239">
            <v>1</v>
          </cell>
          <cell r="D239">
            <v>0</v>
          </cell>
          <cell r="E239">
            <v>1</v>
          </cell>
          <cell r="F239" t="str">
            <v>TJS</v>
          </cell>
          <cell r="G239">
            <v>0.5</v>
          </cell>
          <cell r="H239">
            <v>2670574</v>
          </cell>
          <cell r="I239">
            <v>263</v>
          </cell>
          <cell r="J239" t="str">
            <v>АОЗТ "Кафолат"</v>
          </cell>
          <cell r="K239">
            <v>1335287</v>
          </cell>
          <cell r="L239">
            <v>2670574</v>
          </cell>
          <cell r="M239">
            <v>1</v>
          </cell>
          <cell r="N239">
            <v>1335287</v>
          </cell>
        </row>
        <row r="240">
          <cell r="A240">
            <v>2003</v>
          </cell>
          <cell r="B240">
            <v>2</v>
          </cell>
          <cell r="C240">
            <v>1</v>
          </cell>
          <cell r="D240">
            <v>0</v>
          </cell>
          <cell r="E240">
            <v>2</v>
          </cell>
          <cell r="F240" t="str">
            <v>USD</v>
          </cell>
          <cell r="G240">
            <v>0</v>
          </cell>
          <cell r="H240">
            <v>1</v>
          </cell>
          <cell r="I240">
            <v>1</v>
          </cell>
          <cell r="J240" t="str">
            <v>АОЗТ "Кафолат"</v>
          </cell>
          <cell r="K240">
            <v>0</v>
          </cell>
          <cell r="L240">
            <v>0.9928802588996765</v>
          </cell>
          <cell r="M240">
            <v>0.9928802588996765</v>
          </cell>
          <cell r="N240">
            <v>0</v>
          </cell>
        </row>
        <row r="241">
          <cell r="A241">
            <v>2003</v>
          </cell>
          <cell r="B241">
            <v>2</v>
          </cell>
          <cell r="C241">
            <v>2</v>
          </cell>
          <cell r="D241">
            <v>180</v>
          </cell>
          <cell r="E241">
            <v>2</v>
          </cell>
          <cell r="F241" t="str">
            <v>USD</v>
          </cell>
          <cell r="G241">
            <v>22</v>
          </cell>
          <cell r="H241">
            <v>307</v>
          </cell>
          <cell r="I241">
            <v>1</v>
          </cell>
          <cell r="J241" t="str">
            <v>АОЗТ "Кафолат"</v>
          </cell>
          <cell r="K241">
            <v>6754</v>
          </cell>
          <cell r="L241">
            <v>304.81423948220066</v>
          </cell>
          <cell r="M241">
            <v>0.9928802588996765</v>
          </cell>
          <cell r="N241">
            <v>6705.913268608415</v>
          </cell>
        </row>
        <row r="242">
          <cell r="A242">
            <v>2003</v>
          </cell>
          <cell r="B242">
            <v>2</v>
          </cell>
          <cell r="C242">
            <v>2</v>
          </cell>
          <cell r="D242">
            <v>360</v>
          </cell>
          <cell r="E242">
            <v>2</v>
          </cell>
          <cell r="F242" t="str">
            <v>USD</v>
          </cell>
          <cell r="G242">
            <v>20</v>
          </cell>
          <cell r="H242">
            <v>1992</v>
          </cell>
          <cell r="I242">
            <v>1</v>
          </cell>
          <cell r="J242" t="str">
            <v>АОЗТ "Кафолат"</v>
          </cell>
          <cell r="K242">
            <v>39840</v>
          </cell>
          <cell r="L242">
            <v>1977.8174757281556</v>
          </cell>
          <cell r="M242">
            <v>0.9928802588996765</v>
          </cell>
          <cell r="N242">
            <v>39556.34951456311</v>
          </cell>
        </row>
        <row r="243">
          <cell r="A243">
            <v>2003</v>
          </cell>
          <cell r="B243">
            <v>2</v>
          </cell>
          <cell r="C243">
            <v>2</v>
          </cell>
          <cell r="D243">
            <v>1800</v>
          </cell>
          <cell r="E243">
            <v>2</v>
          </cell>
          <cell r="F243" t="str">
            <v>USD</v>
          </cell>
          <cell r="G243">
            <v>22</v>
          </cell>
          <cell r="H243">
            <v>4295</v>
          </cell>
          <cell r="I243">
            <v>1</v>
          </cell>
          <cell r="J243" t="str">
            <v>АОЗТ "Кафолат"</v>
          </cell>
          <cell r="K243">
            <v>94490</v>
          </cell>
          <cell r="L243">
            <v>4264.42071197411</v>
          </cell>
          <cell r="M243">
            <v>0.9928802588996765</v>
          </cell>
          <cell r="N243">
            <v>93817.25566343043</v>
          </cell>
        </row>
        <row r="244">
          <cell r="A244">
            <v>2003</v>
          </cell>
          <cell r="B244">
            <v>2</v>
          </cell>
          <cell r="C244">
            <v>3</v>
          </cell>
          <cell r="D244">
            <v>0</v>
          </cell>
          <cell r="E244">
            <v>2</v>
          </cell>
          <cell r="F244" t="str">
            <v>USD</v>
          </cell>
          <cell r="G244">
            <v>0</v>
          </cell>
          <cell r="H244">
            <v>12541</v>
          </cell>
          <cell r="I244">
            <v>11</v>
          </cell>
          <cell r="J244" t="str">
            <v>АОЗТ "Кафолат"</v>
          </cell>
          <cell r="K244">
            <v>0</v>
          </cell>
          <cell r="L244">
            <v>12451.711326860843</v>
          </cell>
          <cell r="M244">
            <v>0.9928802588996765</v>
          </cell>
          <cell r="N244">
            <v>0</v>
          </cell>
        </row>
        <row r="245">
          <cell r="A245">
            <v>2003</v>
          </cell>
          <cell r="B245">
            <v>2</v>
          </cell>
          <cell r="C245">
            <v>2</v>
          </cell>
          <cell r="D245">
            <v>180</v>
          </cell>
          <cell r="E245">
            <v>1</v>
          </cell>
          <cell r="F245" t="str">
            <v>USD</v>
          </cell>
          <cell r="G245">
            <v>18</v>
          </cell>
          <cell r="H245">
            <v>30680</v>
          </cell>
          <cell r="I245">
            <v>1</v>
          </cell>
          <cell r="J245" t="str">
            <v>АОЗТ "Кафолат"</v>
          </cell>
          <cell r="K245">
            <v>552240</v>
          </cell>
          <cell r="L245">
            <v>30461.566343042075</v>
          </cell>
          <cell r="M245">
            <v>0.9928802588996765</v>
          </cell>
          <cell r="N245">
            <v>548308.1941747573</v>
          </cell>
        </row>
        <row r="246">
          <cell r="A246">
            <v>2003</v>
          </cell>
          <cell r="B246">
            <v>2</v>
          </cell>
          <cell r="C246">
            <v>2</v>
          </cell>
          <cell r="D246">
            <v>360</v>
          </cell>
          <cell r="E246">
            <v>2</v>
          </cell>
          <cell r="F246" t="str">
            <v>USD</v>
          </cell>
          <cell r="G246">
            <v>25</v>
          </cell>
          <cell r="H246">
            <v>30680</v>
          </cell>
          <cell r="I246">
            <v>1</v>
          </cell>
          <cell r="J246" t="str">
            <v>АОЗТ "Кафолат"</v>
          </cell>
          <cell r="K246">
            <v>767000</v>
          </cell>
          <cell r="L246">
            <v>30461.566343042075</v>
          </cell>
          <cell r="M246">
            <v>0.9928802588996765</v>
          </cell>
          <cell r="N246">
            <v>761539.1585760518</v>
          </cell>
        </row>
        <row r="247">
          <cell r="A247">
            <v>2003</v>
          </cell>
          <cell r="B247">
            <v>2</v>
          </cell>
          <cell r="C247">
            <v>1</v>
          </cell>
          <cell r="D247">
            <v>0</v>
          </cell>
          <cell r="E247">
            <v>1</v>
          </cell>
          <cell r="F247" t="str">
            <v>USD</v>
          </cell>
          <cell r="G247">
            <v>0</v>
          </cell>
          <cell r="H247">
            <v>731989</v>
          </cell>
          <cell r="I247">
            <v>37</v>
          </cell>
          <cell r="J247" t="str">
            <v>АОЗТ "Кафолат"</v>
          </cell>
          <cell r="K247">
            <v>0</v>
          </cell>
          <cell r="L247">
            <v>726777.4278317153</v>
          </cell>
          <cell r="M247">
            <v>0.9928802588996765</v>
          </cell>
          <cell r="N247">
            <v>0</v>
          </cell>
        </row>
        <row r="248">
          <cell r="A248">
            <v>2003</v>
          </cell>
          <cell r="B248">
            <v>2</v>
          </cell>
          <cell r="C248">
            <v>3</v>
          </cell>
          <cell r="D248">
            <v>0</v>
          </cell>
          <cell r="E248">
            <v>2</v>
          </cell>
          <cell r="F248" t="str">
            <v>TJS</v>
          </cell>
          <cell r="G248">
            <v>2</v>
          </cell>
          <cell r="H248">
            <v>941</v>
          </cell>
          <cell r="I248">
            <v>21</v>
          </cell>
          <cell r="J248" t="str">
            <v>АОЗТ "Олимп"</v>
          </cell>
          <cell r="K248">
            <v>1882</v>
          </cell>
          <cell r="L248">
            <v>941</v>
          </cell>
          <cell r="M248">
            <v>1</v>
          </cell>
          <cell r="N248">
            <v>1882</v>
          </cell>
        </row>
        <row r="249">
          <cell r="A249">
            <v>2003</v>
          </cell>
          <cell r="B249">
            <v>2</v>
          </cell>
          <cell r="C249">
            <v>1</v>
          </cell>
          <cell r="D249">
            <v>0</v>
          </cell>
          <cell r="E249">
            <v>1</v>
          </cell>
          <cell r="F249" t="str">
            <v>TJS</v>
          </cell>
          <cell r="G249">
            <v>0</v>
          </cell>
          <cell r="H249">
            <v>45973</v>
          </cell>
          <cell r="I249">
            <v>9</v>
          </cell>
          <cell r="J249" t="str">
            <v>АОЗТ "Олимп"</v>
          </cell>
          <cell r="K249">
            <v>0</v>
          </cell>
          <cell r="L249">
            <v>45973</v>
          </cell>
          <cell r="M249">
            <v>1</v>
          </cell>
          <cell r="N249">
            <v>0</v>
          </cell>
        </row>
        <row r="250">
          <cell r="A250">
            <v>2003</v>
          </cell>
          <cell r="B250">
            <v>2</v>
          </cell>
          <cell r="C250">
            <v>1</v>
          </cell>
          <cell r="D250">
            <v>0</v>
          </cell>
          <cell r="E250">
            <v>1</v>
          </cell>
          <cell r="F250" t="str">
            <v>TJS</v>
          </cell>
          <cell r="G250">
            <v>0</v>
          </cell>
          <cell r="H250">
            <v>6016563</v>
          </cell>
          <cell r="I250">
            <v>12</v>
          </cell>
          <cell r="J250" t="str">
            <v>АООТ "Ходжент"</v>
          </cell>
          <cell r="K250">
            <v>0</v>
          </cell>
          <cell r="L250">
            <v>6016563</v>
          </cell>
          <cell r="M250">
            <v>1</v>
          </cell>
          <cell r="N250">
            <v>0</v>
          </cell>
        </row>
        <row r="251">
          <cell r="A251">
            <v>2003</v>
          </cell>
          <cell r="B251">
            <v>2</v>
          </cell>
          <cell r="C251">
            <v>2</v>
          </cell>
          <cell r="D251">
            <v>0</v>
          </cell>
          <cell r="E251">
            <v>1</v>
          </cell>
          <cell r="F251" t="str">
            <v>USD</v>
          </cell>
          <cell r="G251">
            <v>0</v>
          </cell>
          <cell r="H251">
            <v>2634604</v>
          </cell>
          <cell r="I251">
            <v>8</v>
          </cell>
          <cell r="J251" t="str">
            <v>АООТ "Ходжент"</v>
          </cell>
          <cell r="K251">
            <v>0</v>
          </cell>
          <cell r="L251">
            <v>2615846.3016181234</v>
          </cell>
          <cell r="M251">
            <v>0.9928802588996765</v>
          </cell>
          <cell r="N251">
            <v>0</v>
          </cell>
        </row>
        <row r="252">
          <cell r="A252">
            <v>2003</v>
          </cell>
          <cell r="B252">
            <v>2</v>
          </cell>
          <cell r="C252">
            <v>1</v>
          </cell>
          <cell r="D252">
            <v>0</v>
          </cell>
          <cell r="E252">
            <v>2</v>
          </cell>
          <cell r="F252" t="str">
            <v>EURO</v>
          </cell>
          <cell r="G252">
            <v>0</v>
          </cell>
          <cell r="H252">
            <v>4747</v>
          </cell>
          <cell r="I252">
            <v>20</v>
          </cell>
          <cell r="J252" t="str">
            <v>ГАКБ "Точиксодиротбонк"</v>
          </cell>
          <cell r="K252">
            <v>0</v>
          </cell>
          <cell r="L252">
            <v>4359.247386565837</v>
          </cell>
          <cell r="M252">
            <v>0.91831628113879</v>
          </cell>
          <cell r="N252">
            <v>0</v>
          </cell>
        </row>
        <row r="253">
          <cell r="A253">
            <v>2003</v>
          </cell>
          <cell r="B253">
            <v>2</v>
          </cell>
          <cell r="C253">
            <v>1</v>
          </cell>
          <cell r="D253">
            <v>0</v>
          </cell>
          <cell r="E253">
            <v>1</v>
          </cell>
          <cell r="F253" t="str">
            <v>EURO</v>
          </cell>
          <cell r="G253">
            <v>0</v>
          </cell>
          <cell r="H253">
            <v>278040</v>
          </cell>
          <cell r="I253">
            <v>4</v>
          </cell>
          <cell r="J253" t="str">
            <v>ГАКБ "Точиксодиротбонк"</v>
          </cell>
          <cell r="K253">
            <v>0</v>
          </cell>
          <cell r="L253">
            <v>255328.6588078292</v>
          </cell>
          <cell r="M253">
            <v>0.91831628113879</v>
          </cell>
          <cell r="N253">
            <v>0</v>
          </cell>
        </row>
        <row r="254">
          <cell r="A254">
            <v>2003</v>
          </cell>
          <cell r="B254">
            <v>2</v>
          </cell>
          <cell r="C254">
            <v>1</v>
          </cell>
          <cell r="D254">
            <v>0</v>
          </cell>
          <cell r="E254">
            <v>2</v>
          </cell>
          <cell r="F254" t="str">
            <v>RUR</v>
          </cell>
          <cell r="G254">
            <v>0</v>
          </cell>
          <cell r="H254">
            <v>10</v>
          </cell>
          <cell r="I254">
            <v>1</v>
          </cell>
          <cell r="J254" t="str">
            <v>ГАКБ "Точиксодиротбонк"</v>
          </cell>
          <cell r="K254">
            <v>0</v>
          </cell>
          <cell r="L254">
            <v>9.56051519024678</v>
          </cell>
          <cell r="M254">
            <v>0.9560515190246781</v>
          </cell>
          <cell r="N254">
            <v>0</v>
          </cell>
        </row>
        <row r="255">
          <cell r="A255">
            <v>2003</v>
          </cell>
          <cell r="B255">
            <v>2</v>
          </cell>
          <cell r="C255">
            <v>1</v>
          </cell>
          <cell r="D255">
            <v>0</v>
          </cell>
          <cell r="E255">
            <v>1</v>
          </cell>
          <cell r="F255" t="str">
            <v>RUR</v>
          </cell>
          <cell r="G255">
            <v>0</v>
          </cell>
          <cell r="H255">
            <v>360630</v>
          </cell>
          <cell r="I255">
            <v>18</v>
          </cell>
          <cell r="J255" t="str">
            <v>ГАКБ "Точиксодиротбонк"</v>
          </cell>
          <cell r="K255">
            <v>0</v>
          </cell>
          <cell r="L255">
            <v>344780.8593058697</v>
          </cell>
          <cell r="M255">
            <v>0.9560515190246781</v>
          </cell>
          <cell r="N255">
            <v>0</v>
          </cell>
        </row>
        <row r="256">
          <cell r="A256">
            <v>2003</v>
          </cell>
          <cell r="B256">
            <v>2</v>
          </cell>
          <cell r="C256">
            <v>3</v>
          </cell>
          <cell r="D256">
            <v>360</v>
          </cell>
          <cell r="E256">
            <v>2</v>
          </cell>
          <cell r="F256" t="str">
            <v>TJS</v>
          </cell>
          <cell r="G256">
            <v>20</v>
          </cell>
          <cell r="H256">
            <v>11</v>
          </cell>
          <cell r="I256">
            <v>1</v>
          </cell>
          <cell r="J256" t="str">
            <v>ГАКБ "Точиксодиротбонк"</v>
          </cell>
          <cell r="K256">
            <v>220</v>
          </cell>
          <cell r="L256">
            <v>11</v>
          </cell>
          <cell r="M256">
            <v>1</v>
          </cell>
          <cell r="N256">
            <v>220</v>
          </cell>
        </row>
        <row r="257">
          <cell r="A257">
            <v>2003</v>
          </cell>
          <cell r="B257">
            <v>2</v>
          </cell>
          <cell r="C257">
            <v>2</v>
          </cell>
          <cell r="D257">
            <v>360</v>
          </cell>
          <cell r="E257">
            <v>2</v>
          </cell>
          <cell r="F257" t="str">
            <v>TJS</v>
          </cell>
          <cell r="G257">
            <v>22</v>
          </cell>
          <cell r="H257">
            <v>130</v>
          </cell>
          <cell r="I257">
            <v>2</v>
          </cell>
          <cell r="J257" t="str">
            <v>ГАКБ "Точиксодиротбонк"</v>
          </cell>
          <cell r="K257">
            <v>2860</v>
          </cell>
          <cell r="L257">
            <v>130</v>
          </cell>
          <cell r="M257">
            <v>1</v>
          </cell>
          <cell r="N257">
            <v>2860</v>
          </cell>
        </row>
        <row r="258">
          <cell r="A258">
            <v>2003</v>
          </cell>
          <cell r="B258">
            <v>2</v>
          </cell>
          <cell r="C258">
            <v>2</v>
          </cell>
          <cell r="D258">
            <v>360</v>
          </cell>
          <cell r="E258">
            <v>2</v>
          </cell>
          <cell r="F258" t="str">
            <v>TJS</v>
          </cell>
          <cell r="G258">
            <v>25</v>
          </cell>
          <cell r="H258">
            <v>680</v>
          </cell>
          <cell r="I258">
            <v>5</v>
          </cell>
          <cell r="J258" t="str">
            <v>ГАКБ "Точиксодиротбонк"</v>
          </cell>
          <cell r="K258">
            <v>17000</v>
          </cell>
          <cell r="L258">
            <v>680</v>
          </cell>
          <cell r="M258">
            <v>1</v>
          </cell>
          <cell r="N258">
            <v>17000</v>
          </cell>
        </row>
        <row r="259">
          <cell r="A259">
            <v>2003</v>
          </cell>
          <cell r="B259">
            <v>2</v>
          </cell>
          <cell r="C259">
            <v>2</v>
          </cell>
          <cell r="D259">
            <v>360</v>
          </cell>
          <cell r="E259">
            <v>2</v>
          </cell>
          <cell r="F259" t="str">
            <v>TJS</v>
          </cell>
          <cell r="G259">
            <v>10</v>
          </cell>
          <cell r="H259">
            <v>1181</v>
          </cell>
          <cell r="I259">
            <v>25</v>
          </cell>
          <cell r="J259" t="str">
            <v>ГАКБ "Точиксодиротбонк"</v>
          </cell>
          <cell r="K259">
            <v>11810</v>
          </cell>
          <cell r="L259">
            <v>1181</v>
          </cell>
          <cell r="M259">
            <v>1</v>
          </cell>
          <cell r="N259">
            <v>11810</v>
          </cell>
        </row>
        <row r="260">
          <cell r="A260">
            <v>2003</v>
          </cell>
          <cell r="B260">
            <v>2</v>
          </cell>
          <cell r="C260">
            <v>2</v>
          </cell>
          <cell r="D260">
            <v>601</v>
          </cell>
          <cell r="E260">
            <v>2</v>
          </cell>
          <cell r="F260" t="str">
            <v>TJS</v>
          </cell>
          <cell r="G260">
            <v>30</v>
          </cell>
          <cell r="H260">
            <v>1191</v>
          </cell>
          <cell r="I260">
            <v>14</v>
          </cell>
          <cell r="J260" t="str">
            <v>ГАКБ "Точиксодиротбонк"</v>
          </cell>
          <cell r="K260">
            <v>35730</v>
          </cell>
          <cell r="L260">
            <v>1191</v>
          </cell>
          <cell r="M260">
            <v>1</v>
          </cell>
          <cell r="N260">
            <v>35730</v>
          </cell>
        </row>
        <row r="261">
          <cell r="A261">
            <v>2003</v>
          </cell>
          <cell r="B261">
            <v>2</v>
          </cell>
          <cell r="C261">
            <v>1</v>
          </cell>
          <cell r="D261">
            <v>0</v>
          </cell>
          <cell r="E261">
            <v>2</v>
          </cell>
          <cell r="F261" t="str">
            <v>TJS</v>
          </cell>
          <cell r="G261">
            <v>0</v>
          </cell>
          <cell r="H261">
            <v>30130</v>
          </cell>
          <cell r="I261">
            <v>113</v>
          </cell>
          <cell r="J261" t="str">
            <v>ГАКБ "Точиксодиротбонк"</v>
          </cell>
          <cell r="K261">
            <v>0</v>
          </cell>
          <cell r="L261">
            <v>30130</v>
          </cell>
          <cell r="M261">
            <v>1</v>
          </cell>
          <cell r="N261">
            <v>0</v>
          </cell>
        </row>
        <row r="262">
          <cell r="A262">
            <v>2003</v>
          </cell>
          <cell r="B262">
            <v>2</v>
          </cell>
          <cell r="C262">
            <v>1</v>
          </cell>
          <cell r="D262">
            <v>0</v>
          </cell>
          <cell r="E262">
            <v>1</v>
          </cell>
          <cell r="F262" t="str">
            <v>TJS</v>
          </cell>
          <cell r="G262">
            <v>0</v>
          </cell>
          <cell r="H262">
            <v>23589940</v>
          </cell>
          <cell r="I262">
            <v>385</v>
          </cell>
          <cell r="J262" t="str">
            <v>ГАКБ "Точиксодиротбонк"</v>
          </cell>
          <cell r="K262">
            <v>0</v>
          </cell>
          <cell r="L262">
            <v>23589940</v>
          </cell>
          <cell r="M262">
            <v>1</v>
          </cell>
          <cell r="N262">
            <v>0</v>
          </cell>
        </row>
        <row r="263">
          <cell r="A263">
            <v>2003</v>
          </cell>
          <cell r="B263">
            <v>2</v>
          </cell>
          <cell r="C263">
            <v>1</v>
          </cell>
          <cell r="D263">
            <v>0</v>
          </cell>
          <cell r="E263">
            <v>1</v>
          </cell>
          <cell r="F263" t="str">
            <v>USD</v>
          </cell>
          <cell r="G263">
            <v>0</v>
          </cell>
          <cell r="H263">
            <v>20731037</v>
          </cell>
          <cell r="I263">
            <v>333</v>
          </cell>
          <cell r="J263" t="str">
            <v>ГАКБ "Точиксодиротбонк"</v>
          </cell>
          <cell r="K263">
            <v>0</v>
          </cell>
          <cell r="L263">
            <v>20583437.38381877</v>
          </cell>
          <cell r="M263">
            <v>0.9928802588996765</v>
          </cell>
          <cell r="N263">
            <v>0</v>
          </cell>
        </row>
        <row r="264">
          <cell r="A264">
            <v>2003</v>
          </cell>
          <cell r="B264">
            <v>2</v>
          </cell>
          <cell r="C264">
            <v>1</v>
          </cell>
          <cell r="D264">
            <v>0</v>
          </cell>
          <cell r="E264">
            <v>2</v>
          </cell>
          <cell r="F264" t="str">
            <v>USD</v>
          </cell>
          <cell r="G264">
            <v>0</v>
          </cell>
          <cell r="H264">
            <v>1183795</v>
          </cell>
          <cell r="I264">
            <v>404</v>
          </cell>
          <cell r="J264" t="str">
            <v>ГАКБ "Точиксодиротбонк"</v>
          </cell>
          <cell r="K264">
            <v>0</v>
          </cell>
          <cell r="L264">
            <v>1175366.6860841424</v>
          </cell>
          <cell r="M264">
            <v>0.9928802588996765</v>
          </cell>
          <cell r="N264">
            <v>0</v>
          </cell>
        </row>
        <row r="265">
          <cell r="A265">
            <v>2003</v>
          </cell>
          <cell r="B265">
            <v>2</v>
          </cell>
          <cell r="C265">
            <v>2</v>
          </cell>
          <cell r="D265">
            <v>360</v>
          </cell>
          <cell r="E265">
            <v>2</v>
          </cell>
          <cell r="F265" t="str">
            <v>USD</v>
          </cell>
          <cell r="G265">
            <v>12</v>
          </cell>
          <cell r="H265">
            <v>9669</v>
          </cell>
          <cell r="I265">
            <v>3</v>
          </cell>
          <cell r="J265" t="str">
            <v>ГАКБ "Точиксодиротбонк"</v>
          </cell>
          <cell r="K265">
            <v>116028</v>
          </cell>
          <cell r="L265">
            <v>9600.159223300972</v>
          </cell>
          <cell r="M265">
            <v>0.9928802588996765</v>
          </cell>
          <cell r="N265">
            <v>115201.91067961165</v>
          </cell>
        </row>
        <row r="266">
          <cell r="A266">
            <v>2003</v>
          </cell>
          <cell r="B266">
            <v>2</v>
          </cell>
          <cell r="C266">
            <v>2</v>
          </cell>
          <cell r="D266">
            <v>1080</v>
          </cell>
          <cell r="E266">
            <v>2</v>
          </cell>
          <cell r="F266" t="str">
            <v>USD</v>
          </cell>
          <cell r="G266">
            <v>18</v>
          </cell>
          <cell r="H266">
            <v>33</v>
          </cell>
          <cell r="I266">
            <v>1</v>
          </cell>
          <cell r="J266" t="str">
            <v>ГАКБ "Точиксодиротбонк"</v>
          </cell>
          <cell r="K266">
            <v>594</v>
          </cell>
          <cell r="L266">
            <v>32.765048543689325</v>
          </cell>
          <cell r="M266">
            <v>0.9928802588996765</v>
          </cell>
          <cell r="N266">
            <v>589.7708737864078</v>
          </cell>
        </row>
        <row r="267">
          <cell r="A267">
            <v>2003</v>
          </cell>
          <cell r="B267">
            <v>2</v>
          </cell>
          <cell r="C267">
            <v>2</v>
          </cell>
          <cell r="D267">
            <v>1800</v>
          </cell>
          <cell r="E267">
            <v>2</v>
          </cell>
          <cell r="F267" t="str">
            <v>USD</v>
          </cell>
          <cell r="G267">
            <v>20</v>
          </cell>
          <cell r="H267">
            <v>325</v>
          </cell>
          <cell r="I267">
            <v>1</v>
          </cell>
          <cell r="J267" t="str">
            <v>ГАКБ "Точиксодиротбонк"</v>
          </cell>
          <cell r="K267">
            <v>6500</v>
          </cell>
          <cell r="L267">
            <v>322.68608414239486</v>
          </cell>
          <cell r="M267">
            <v>0.9928802588996765</v>
          </cell>
          <cell r="N267">
            <v>6453.721682847897</v>
          </cell>
        </row>
        <row r="268">
          <cell r="A268">
            <v>2003</v>
          </cell>
          <cell r="B268">
            <v>2</v>
          </cell>
          <cell r="C268">
            <v>2</v>
          </cell>
          <cell r="D268">
            <v>601</v>
          </cell>
          <cell r="E268">
            <v>2</v>
          </cell>
          <cell r="F268" t="str">
            <v>USD</v>
          </cell>
          <cell r="G268">
            <v>20</v>
          </cell>
          <cell r="H268">
            <v>65421</v>
          </cell>
          <cell r="I268">
            <v>38</v>
          </cell>
          <cell r="J268" t="str">
            <v>ГАКБ "Точиксодиротбонк"</v>
          </cell>
          <cell r="K268">
            <v>1308420</v>
          </cell>
          <cell r="L268">
            <v>64955.21941747573</v>
          </cell>
          <cell r="M268">
            <v>0.9928802588996765</v>
          </cell>
          <cell r="N268">
            <v>1299104.3883495147</v>
          </cell>
        </row>
        <row r="269">
          <cell r="A269">
            <v>2003</v>
          </cell>
          <cell r="B269">
            <v>2</v>
          </cell>
          <cell r="C269">
            <v>2</v>
          </cell>
          <cell r="D269">
            <v>270</v>
          </cell>
          <cell r="E269">
            <v>2</v>
          </cell>
          <cell r="F269" t="str">
            <v>USD</v>
          </cell>
          <cell r="G269">
            <v>15</v>
          </cell>
          <cell r="H269">
            <v>325</v>
          </cell>
          <cell r="I269">
            <v>1</v>
          </cell>
          <cell r="J269" t="str">
            <v>ГАКБ "Точиксодиротбонк"</v>
          </cell>
          <cell r="K269">
            <v>4875</v>
          </cell>
          <cell r="L269">
            <v>322.68608414239486</v>
          </cell>
          <cell r="M269">
            <v>0.9928802588996765</v>
          </cell>
          <cell r="N269">
            <v>4840.291262135923</v>
          </cell>
        </row>
        <row r="270">
          <cell r="A270">
            <v>2003</v>
          </cell>
          <cell r="B270">
            <v>2</v>
          </cell>
          <cell r="C270">
            <v>2</v>
          </cell>
          <cell r="D270">
            <v>360</v>
          </cell>
          <cell r="E270">
            <v>1</v>
          </cell>
          <cell r="F270" t="str">
            <v>USD</v>
          </cell>
          <cell r="G270">
            <v>20</v>
          </cell>
          <cell r="H270">
            <v>1658</v>
          </cell>
          <cell r="I270">
            <v>1</v>
          </cell>
          <cell r="J270" t="str">
            <v>ГАКБ "Точиксодиротбонк"</v>
          </cell>
          <cell r="K270">
            <v>33160</v>
          </cell>
          <cell r="L270">
            <v>1646.1954692556635</v>
          </cell>
          <cell r="M270">
            <v>0.9928802588996765</v>
          </cell>
          <cell r="N270">
            <v>32923.90938511327</v>
          </cell>
        </row>
        <row r="271">
          <cell r="A271">
            <v>2003</v>
          </cell>
          <cell r="B271">
            <v>2</v>
          </cell>
          <cell r="C271">
            <v>2</v>
          </cell>
          <cell r="D271">
            <v>60</v>
          </cell>
          <cell r="E271">
            <v>1</v>
          </cell>
          <cell r="F271" t="str">
            <v>USD</v>
          </cell>
          <cell r="G271">
            <v>12</v>
          </cell>
          <cell r="H271">
            <v>322140</v>
          </cell>
          <cell r="I271">
            <v>1</v>
          </cell>
          <cell r="J271" t="str">
            <v>ГАКБ "Точиксодиротбонк"</v>
          </cell>
          <cell r="K271">
            <v>3865680</v>
          </cell>
          <cell r="L271">
            <v>319846.4466019418</v>
          </cell>
          <cell r="M271">
            <v>0.9928802588996765</v>
          </cell>
          <cell r="N271">
            <v>3838157.3592233015</v>
          </cell>
        </row>
        <row r="272">
          <cell r="A272">
            <v>2003</v>
          </cell>
          <cell r="B272">
            <v>2</v>
          </cell>
          <cell r="C272">
            <v>2</v>
          </cell>
          <cell r="D272">
            <v>360</v>
          </cell>
          <cell r="E272">
            <v>1</v>
          </cell>
          <cell r="F272" t="str">
            <v>USD</v>
          </cell>
          <cell r="G272">
            <v>18</v>
          </cell>
          <cell r="H272">
            <v>4875</v>
          </cell>
          <cell r="I272">
            <v>1</v>
          </cell>
          <cell r="J272" t="str">
            <v>ГАКБ "Точиксодиротбонк"</v>
          </cell>
          <cell r="K272">
            <v>87750</v>
          </cell>
          <cell r="L272">
            <v>4840.291262135923</v>
          </cell>
          <cell r="M272">
            <v>0.9928802588996765</v>
          </cell>
          <cell r="N272">
            <v>87125.2427184466</v>
          </cell>
        </row>
        <row r="273">
          <cell r="A273">
            <v>2003</v>
          </cell>
          <cell r="B273">
            <v>2</v>
          </cell>
          <cell r="C273">
            <v>2</v>
          </cell>
          <cell r="D273">
            <v>360</v>
          </cell>
          <cell r="E273">
            <v>2</v>
          </cell>
          <cell r="F273" t="str">
            <v>USD</v>
          </cell>
          <cell r="G273">
            <v>20</v>
          </cell>
          <cell r="H273">
            <v>111961</v>
          </cell>
          <cell r="I273">
            <v>12</v>
          </cell>
          <cell r="J273" t="str">
            <v>ГАКБ "Точиксодиротбонк"</v>
          </cell>
          <cell r="K273">
            <v>2239220</v>
          </cell>
          <cell r="L273">
            <v>111163.86666666668</v>
          </cell>
          <cell r="M273">
            <v>0.9928802588996765</v>
          </cell>
          <cell r="N273">
            <v>2223277.3333333335</v>
          </cell>
        </row>
        <row r="274">
          <cell r="A274">
            <v>2003</v>
          </cell>
          <cell r="B274">
            <v>2</v>
          </cell>
          <cell r="C274">
            <v>2</v>
          </cell>
          <cell r="D274">
            <v>360</v>
          </cell>
          <cell r="E274">
            <v>2</v>
          </cell>
          <cell r="F274" t="str">
            <v>USD</v>
          </cell>
          <cell r="G274">
            <v>18</v>
          </cell>
          <cell r="H274">
            <v>409652</v>
          </cell>
          <cell r="I274">
            <v>46</v>
          </cell>
          <cell r="J274" t="str">
            <v>ГАКБ "Точиксодиротбонк"</v>
          </cell>
          <cell r="K274">
            <v>7373736</v>
          </cell>
          <cell r="L274">
            <v>406735.38381877023</v>
          </cell>
          <cell r="M274">
            <v>0.9928802588996765</v>
          </cell>
          <cell r="N274">
            <v>7321236.908737864</v>
          </cell>
        </row>
        <row r="275">
          <cell r="A275">
            <v>2003</v>
          </cell>
          <cell r="B275">
            <v>2</v>
          </cell>
          <cell r="C275">
            <v>2</v>
          </cell>
          <cell r="D275">
            <v>360</v>
          </cell>
          <cell r="E275">
            <v>2</v>
          </cell>
          <cell r="F275" t="str">
            <v>USD</v>
          </cell>
          <cell r="G275">
            <v>15</v>
          </cell>
          <cell r="H275">
            <v>2644</v>
          </cell>
          <cell r="I275">
            <v>8</v>
          </cell>
          <cell r="J275" t="str">
            <v>ГАКБ "Точиксодиротбонк"</v>
          </cell>
          <cell r="K275">
            <v>39660</v>
          </cell>
          <cell r="L275">
            <v>2625.1754045307443</v>
          </cell>
          <cell r="M275">
            <v>0.9928802588996765</v>
          </cell>
          <cell r="N275">
            <v>39377.63106796117</v>
          </cell>
        </row>
        <row r="276">
          <cell r="A276">
            <v>2003</v>
          </cell>
          <cell r="B276">
            <v>2</v>
          </cell>
          <cell r="C276">
            <v>3</v>
          </cell>
          <cell r="D276">
            <v>360</v>
          </cell>
          <cell r="E276">
            <v>2</v>
          </cell>
          <cell r="F276" t="str">
            <v>USD</v>
          </cell>
          <cell r="G276">
            <v>20</v>
          </cell>
          <cell r="H276">
            <v>8661</v>
          </cell>
          <cell r="I276">
            <v>4</v>
          </cell>
          <cell r="J276" t="str">
            <v>ГАКБ "Точиксодиротбонк"</v>
          </cell>
          <cell r="K276">
            <v>173220</v>
          </cell>
          <cell r="L276">
            <v>8599.335922330098</v>
          </cell>
          <cell r="M276">
            <v>0.9928802588996765</v>
          </cell>
          <cell r="N276">
            <v>171986.71844660197</v>
          </cell>
        </row>
        <row r="277">
          <cell r="A277">
            <v>2003</v>
          </cell>
          <cell r="B277">
            <v>2</v>
          </cell>
          <cell r="C277">
            <v>3</v>
          </cell>
          <cell r="D277">
            <v>0</v>
          </cell>
          <cell r="E277">
            <v>2</v>
          </cell>
          <cell r="F277" t="str">
            <v>USD</v>
          </cell>
          <cell r="G277">
            <v>20</v>
          </cell>
          <cell r="H277">
            <v>5149</v>
          </cell>
          <cell r="I277">
            <v>1</v>
          </cell>
          <cell r="J277" t="str">
            <v>ГАКБ "Точиксодиротбонк"</v>
          </cell>
          <cell r="K277">
            <v>102980</v>
          </cell>
          <cell r="L277">
            <v>5112.340453074434</v>
          </cell>
          <cell r="M277">
            <v>0.9928802588996765</v>
          </cell>
          <cell r="N277">
            <v>102246.80906148868</v>
          </cell>
        </row>
        <row r="278">
          <cell r="A278">
            <v>2003</v>
          </cell>
          <cell r="B278">
            <v>2</v>
          </cell>
          <cell r="C278">
            <v>2</v>
          </cell>
          <cell r="D278">
            <v>360</v>
          </cell>
          <cell r="E278">
            <v>2</v>
          </cell>
          <cell r="F278" t="str">
            <v>USD</v>
          </cell>
          <cell r="G278">
            <v>21</v>
          </cell>
          <cell r="H278">
            <v>1300</v>
          </cell>
          <cell r="I278">
            <v>1</v>
          </cell>
          <cell r="J278" t="str">
            <v>ГАКБ "Точиксодиротбонк"</v>
          </cell>
          <cell r="K278">
            <v>27300</v>
          </cell>
          <cell r="L278">
            <v>1290.7443365695794</v>
          </cell>
          <cell r="M278">
            <v>0.9928802588996765</v>
          </cell>
          <cell r="N278">
            <v>27105.631067961167</v>
          </cell>
        </row>
        <row r="279">
          <cell r="A279">
            <v>2003</v>
          </cell>
          <cell r="B279">
            <v>2</v>
          </cell>
          <cell r="C279">
            <v>2</v>
          </cell>
          <cell r="D279">
            <v>300</v>
          </cell>
          <cell r="E279">
            <v>1</v>
          </cell>
          <cell r="F279" t="str">
            <v>USD</v>
          </cell>
          <cell r="G279">
            <v>20</v>
          </cell>
          <cell r="H279">
            <v>1548600</v>
          </cell>
          <cell r="I279">
            <v>2</v>
          </cell>
          <cell r="J279" t="str">
            <v>ГАКБ "Точиксодиротбонк"</v>
          </cell>
          <cell r="K279">
            <v>30972000</v>
          </cell>
          <cell r="L279">
            <v>1537574.368932039</v>
          </cell>
          <cell r="M279">
            <v>0.9928802588996765</v>
          </cell>
          <cell r="N279">
            <v>30751487.37864078</v>
          </cell>
        </row>
        <row r="280">
          <cell r="A280">
            <v>2003</v>
          </cell>
          <cell r="B280">
            <v>2</v>
          </cell>
          <cell r="C280">
            <v>2</v>
          </cell>
          <cell r="D280">
            <v>360</v>
          </cell>
          <cell r="E280">
            <v>1</v>
          </cell>
          <cell r="F280" t="str">
            <v>USD</v>
          </cell>
          <cell r="G280">
            <v>12</v>
          </cell>
          <cell r="H280">
            <v>2920</v>
          </cell>
          <cell r="I280">
            <v>1</v>
          </cell>
          <cell r="J280" t="str">
            <v>ГАКБ "Точиксодиротбонк"</v>
          </cell>
          <cell r="K280">
            <v>35040</v>
          </cell>
          <cell r="L280">
            <v>2899.210355987055</v>
          </cell>
          <cell r="M280">
            <v>0.9928802588996765</v>
          </cell>
          <cell r="N280">
            <v>34790.52427184466</v>
          </cell>
        </row>
        <row r="281">
          <cell r="A281">
            <v>2003</v>
          </cell>
          <cell r="B281">
            <v>2</v>
          </cell>
          <cell r="C281">
            <v>2</v>
          </cell>
          <cell r="D281">
            <v>540</v>
          </cell>
          <cell r="E281">
            <v>2</v>
          </cell>
          <cell r="F281" t="str">
            <v>USD</v>
          </cell>
          <cell r="G281">
            <v>18</v>
          </cell>
          <cell r="H281">
            <v>6737</v>
          </cell>
          <cell r="I281">
            <v>1</v>
          </cell>
          <cell r="J281" t="str">
            <v>ГАКБ "Точиксодиротбонк"</v>
          </cell>
          <cell r="K281">
            <v>121266</v>
          </cell>
          <cell r="L281">
            <v>6689.03430420712</v>
          </cell>
          <cell r="M281">
            <v>0.9928802588996765</v>
          </cell>
          <cell r="N281">
            <v>120402.61747572817</v>
          </cell>
        </row>
        <row r="282">
          <cell r="A282">
            <v>2003</v>
          </cell>
          <cell r="B282">
            <v>2</v>
          </cell>
          <cell r="C282">
            <v>2</v>
          </cell>
          <cell r="D282">
            <v>720</v>
          </cell>
          <cell r="E282">
            <v>2</v>
          </cell>
          <cell r="F282" t="str">
            <v>USD</v>
          </cell>
          <cell r="G282">
            <v>21</v>
          </cell>
          <cell r="H282">
            <v>305</v>
          </cell>
          <cell r="I282">
            <v>1</v>
          </cell>
          <cell r="J282" t="str">
            <v>ГАКБ "Точиксодиротбонк"</v>
          </cell>
          <cell r="K282">
            <v>6405</v>
          </cell>
          <cell r="L282">
            <v>302.8284789644013</v>
          </cell>
          <cell r="M282">
            <v>0.9928802588996765</v>
          </cell>
          <cell r="N282">
            <v>6359.398058252427</v>
          </cell>
        </row>
        <row r="283">
          <cell r="A283">
            <v>2003</v>
          </cell>
          <cell r="B283">
            <v>2</v>
          </cell>
          <cell r="C283">
            <v>2</v>
          </cell>
          <cell r="D283">
            <v>90</v>
          </cell>
          <cell r="E283">
            <v>1</v>
          </cell>
          <cell r="F283" t="str">
            <v>USD</v>
          </cell>
          <cell r="G283">
            <v>12</v>
          </cell>
          <cell r="H283">
            <v>4550</v>
          </cell>
          <cell r="I283">
            <v>1</v>
          </cell>
          <cell r="J283" t="str">
            <v>ГАКБ "Точиксодиротбонк"</v>
          </cell>
          <cell r="K283">
            <v>54600</v>
          </cell>
          <cell r="L283">
            <v>4517.605177993528</v>
          </cell>
          <cell r="M283">
            <v>0.9928802588996765</v>
          </cell>
          <cell r="N283">
            <v>54211.262135922334</v>
          </cell>
        </row>
        <row r="284">
          <cell r="A284">
            <v>2003</v>
          </cell>
          <cell r="B284">
            <v>2</v>
          </cell>
          <cell r="C284">
            <v>2</v>
          </cell>
          <cell r="D284">
            <v>180</v>
          </cell>
          <cell r="E284">
            <v>2</v>
          </cell>
          <cell r="F284" t="str">
            <v>USD</v>
          </cell>
          <cell r="G284">
            <v>10</v>
          </cell>
          <cell r="H284">
            <v>1682</v>
          </cell>
          <cell r="I284">
            <v>2</v>
          </cell>
          <cell r="J284" t="str">
            <v>ГАКБ "Точиксодиротбонк"</v>
          </cell>
          <cell r="K284">
            <v>16820</v>
          </cell>
          <cell r="L284">
            <v>1670.0245954692557</v>
          </cell>
          <cell r="M284">
            <v>0.9928802588996765</v>
          </cell>
          <cell r="N284">
            <v>16700.245954692557</v>
          </cell>
        </row>
        <row r="285">
          <cell r="A285">
            <v>2003</v>
          </cell>
          <cell r="B285">
            <v>2</v>
          </cell>
          <cell r="C285">
            <v>2</v>
          </cell>
          <cell r="D285">
            <v>360</v>
          </cell>
          <cell r="E285">
            <v>2</v>
          </cell>
          <cell r="F285" t="str">
            <v>USD</v>
          </cell>
          <cell r="G285">
            <v>28</v>
          </cell>
          <cell r="H285">
            <v>28</v>
          </cell>
          <cell r="I285">
            <v>2</v>
          </cell>
          <cell r="J285" t="str">
            <v>ГАКБ "Точиксодиротбонк"</v>
          </cell>
          <cell r="K285">
            <v>784</v>
          </cell>
          <cell r="L285">
            <v>27.80064724919094</v>
          </cell>
          <cell r="M285">
            <v>0.9928802588996765</v>
          </cell>
          <cell r="N285">
            <v>778.4181229773463</v>
          </cell>
        </row>
        <row r="286">
          <cell r="A286">
            <v>2003</v>
          </cell>
          <cell r="B286">
            <v>2</v>
          </cell>
          <cell r="C286">
            <v>2</v>
          </cell>
          <cell r="D286">
            <v>360</v>
          </cell>
          <cell r="E286">
            <v>2</v>
          </cell>
          <cell r="F286" t="str">
            <v>USD</v>
          </cell>
          <cell r="G286">
            <v>8</v>
          </cell>
          <cell r="H286">
            <v>91</v>
          </cell>
          <cell r="I286">
            <v>1</v>
          </cell>
          <cell r="J286" t="str">
            <v>ГАКБ "Точиксодиротбонк"</v>
          </cell>
          <cell r="K286">
            <v>728</v>
          </cell>
          <cell r="L286">
            <v>90.35210355987056</v>
          </cell>
          <cell r="M286">
            <v>0.9928802588996765</v>
          </cell>
          <cell r="N286">
            <v>722.8168284789645</v>
          </cell>
        </row>
        <row r="287">
          <cell r="A287">
            <v>2003</v>
          </cell>
          <cell r="B287">
            <v>2</v>
          </cell>
          <cell r="C287">
            <v>2</v>
          </cell>
          <cell r="D287">
            <v>360</v>
          </cell>
          <cell r="E287">
            <v>2</v>
          </cell>
          <cell r="F287" t="str">
            <v>USD</v>
          </cell>
          <cell r="G287">
            <v>6</v>
          </cell>
          <cell r="H287">
            <v>8</v>
          </cell>
          <cell r="I287">
            <v>2</v>
          </cell>
          <cell r="J287" t="str">
            <v>ГАКБ "Точиксодиротбонк"</v>
          </cell>
          <cell r="K287">
            <v>48</v>
          </cell>
          <cell r="L287">
            <v>7.943042071197412</v>
          </cell>
          <cell r="M287">
            <v>0.9928802588996765</v>
          </cell>
          <cell r="N287">
            <v>47.65825242718447</v>
          </cell>
        </row>
        <row r="288">
          <cell r="A288">
            <v>2003</v>
          </cell>
          <cell r="B288">
            <v>2</v>
          </cell>
          <cell r="C288">
            <v>2</v>
          </cell>
          <cell r="D288">
            <v>90</v>
          </cell>
          <cell r="E288">
            <v>2</v>
          </cell>
          <cell r="F288" t="str">
            <v>USD</v>
          </cell>
          <cell r="G288">
            <v>6</v>
          </cell>
          <cell r="H288">
            <v>771</v>
          </cell>
          <cell r="I288">
            <v>2</v>
          </cell>
          <cell r="J288" t="str">
            <v>ГАКБ "Точиксодиротбонк"</v>
          </cell>
          <cell r="K288">
            <v>4626</v>
          </cell>
          <cell r="L288">
            <v>765.5106796116505</v>
          </cell>
          <cell r="M288">
            <v>0.9928802588996765</v>
          </cell>
          <cell r="N288">
            <v>4593.064077669903</v>
          </cell>
        </row>
        <row r="289">
          <cell r="A289">
            <v>2003</v>
          </cell>
          <cell r="B289">
            <v>2</v>
          </cell>
          <cell r="C289">
            <v>2</v>
          </cell>
          <cell r="D289">
            <v>90</v>
          </cell>
          <cell r="E289">
            <v>2</v>
          </cell>
          <cell r="F289" t="str">
            <v>USD</v>
          </cell>
          <cell r="G289">
            <v>5.5</v>
          </cell>
          <cell r="H289">
            <v>130</v>
          </cell>
          <cell r="I289">
            <v>2</v>
          </cell>
          <cell r="J289" t="str">
            <v>ГАКБ "Точиксодиротбонк"</v>
          </cell>
          <cell r="K289">
            <v>715</v>
          </cell>
          <cell r="L289">
            <v>129.07443365695795</v>
          </cell>
          <cell r="M289">
            <v>0.9928802588996765</v>
          </cell>
          <cell r="N289">
            <v>709.9093851132686</v>
          </cell>
        </row>
        <row r="290">
          <cell r="A290">
            <v>2003</v>
          </cell>
          <cell r="B290">
            <v>2</v>
          </cell>
          <cell r="C290">
            <v>1</v>
          </cell>
          <cell r="D290">
            <v>0</v>
          </cell>
          <cell r="E290">
            <v>1</v>
          </cell>
          <cell r="F290" t="str">
            <v>EURO</v>
          </cell>
          <cell r="G290">
            <v>0</v>
          </cell>
          <cell r="H290">
            <v>43993</v>
          </cell>
          <cell r="I290">
            <v>3</v>
          </cell>
          <cell r="J290" t="str">
            <v>ГСБ "Амонатбанк"</v>
          </cell>
          <cell r="K290">
            <v>0</v>
          </cell>
          <cell r="L290">
            <v>40399.48815613879</v>
          </cell>
          <cell r="M290">
            <v>0.91831628113879</v>
          </cell>
          <cell r="N290">
            <v>0</v>
          </cell>
        </row>
        <row r="291">
          <cell r="A291">
            <v>2003</v>
          </cell>
          <cell r="B291">
            <v>2</v>
          </cell>
          <cell r="C291">
            <v>1</v>
          </cell>
          <cell r="D291">
            <v>0</v>
          </cell>
          <cell r="E291">
            <v>2</v>
          </cell>
          <cell r="F291" t="str">
            <v>RUR</v>
          </cell>
          <cell r="G291">
            <v>0</v>
          </cell>
          <cell r="H291">
            <v>467</v>
          </cell>
          <cell r="I291">
            <v>7</v>
          </cell>
          <cell r="J291" t="str">
            <v>ГСБ "Амонатбанк"</v>
          </cell>
          <cell r="K291">
            <v>0</v>
          </cell>
          <cell r="L291">
            <v>446.47605938452466</v>
          </cell>
          <cell r="M291">
            <v>0.9560515190246781</v>
          </cell>
          <cell r="N291">
            <v>0</v>
          </cell>
        </row>
        <row r="292">
          <cell r="A292">
            <v>2003</v>
          </cell>
          <cell r="B292">
            <v>2</v>
          </cell>
          <cell r="C292">
            <v>1</v>
          </cell>
          <cell r="D292">
            <v>0</v>
          </cell>
          <cell r="E292">
            <v>1</v>
          </cell>
          <cell r="F292" t="str">
            <v>RUR</v>
          </cell>
          <cell r="G292">
            <v>0</v>
          </cell>
          <cell r="H292">
            <v>280144</v>
          </cell>
          <cell r="I292">
            <v>21</v>
          </cell>
          <cell r="J292" t="str">
            <v>ГСБ "Амонатбанк"</v>
          </cell>
          <cell r="K292">
            <v>0</v>
          </cell>
          <cell r="L292">
            <v>267832.0967456494</v>
          </cell>
          <cell r="M292">
            <v>0.9560515190246781</v>
          </cell>
          <cell r="N292">
            <v>0</v>
          </cell>
        </row>
        <row r="293">
          <cell r="A293">
            <v>2003</v>
          </cell>
          <cell r="B293">
            <v>2</v>
          </cell>
          <cell r="C293">
            <v>2</v>
          </cell>
          <cell r="D293">
            <v>360</v>
          </cell>
          <cell r="E293">
            <v>2</v>
          </cell>
          <cell r="F293" t="str">
            <v>TJS</v>
          </cell>
          <cell r="G293">
            <v>2</v>
          </cell>
          <cell r="H293">
            <v>50</v>
          </cell>
          <cell r="I293">
            <v>8</v>
          </cell>
          <cell r="J293" t="str">
            <v>ГСБ "Амонатбанк"</v>
          </cell>
          <cell r="K293">
            <v>100</v>
          </cell>
          <cell r="L293">
            <v>50</v>
          </cell>
          <cell r="M293">
            <v>1</v>
          </cell>
          <cell r="N293">
            <v>100</v>
          </cell>
        </row>
        <row r="294">
          <cell r="A294">
            <v>2003</v>
          </cell>
          <cell r="B294">
            <v>2</v>
          </cell>
          <cell r="C294">
            <v>2</v>
          </cell>
          <cell r="D294">
            <v>180</v>
          </cell>
          <cell r="E294">
            <v>2</v>
          </cell>
          <cell r="F294" t="str">
            <v>TJS</v>
          </cell>
          <cell r="G294">
            <v>18</v>
          </cell>
          <cell r="H294">
            <v>28202</v>
          </cell>
          <cell r="I294">
            <v>8</v>
          </cell>
          <cell r="J294" t="str">
            <v>ГСБ "Амонатбанк"</v>
          </cell>
          <cell r="K294">
            <v>507636</v>
          </cell>
          <cell r="L294">
            <v>28202</v>
          </cell>
          <cell r="M294">
            <v>1</v>
          </cell>
          <cell r="N294">
            <v>507636</v>
          </cell>
        </row>
        <row r="295">
          <cell r="A295">
            <v>2003</v>
          </cell>
          <cell r="B295">
            <v>2</v>
          </cell>
          <cell r="C295">
            <v>2</v>
          </cell>
          <cell r="D295">
            <v>1080</v>
          </cell>
          <cell r="E295">
            <v>2</v>
          </cell>
          <cell r="F295" t="str">
            <v>TJS</v>
          </cell>
          <cell r="G295">
            <v>30</v>
          </cell>
          <cell r="H295">
            <v>87942</v>
          </cell>
          <cell r="I295">
            <v>36</v>
          </cell>
          <cell r="J295" t="str">
            <v>ГСБ "Амонатбанк"</v>
          </cell>
          <cell r="K295">
            <v>2638260</v>
          </cell>
          <cell r="L295">
            <v>87942</v>
          </cell>
          <cell r="M295">
            <v>1</v>
          </cell>
          <cell r="N295">
            <v>2638260</v>
          </cell>
        </row>
        <row r="296">
          <cell r="A296">
            <v>2003</v>
          </cell>
          <cell r="B296">
            <v>2</v>
          </cell>
          <cell r="C296">
            <v>2</v>
          </cell>
          <cell r="D296">
            <v>360</v>
          </cell>
          <cell r="E296">
            <v>2</v>
          </cell>
          <cell r="F296" t="str">
            <v>TJS</v>
          </cell>
          <cell r="G296">
            <v>24</v>
          </cell>
          <cell r="H296">
            <v>95999</v>
          </cell>
          <cell r="I296">
            <v>34</v>
          </cell>
          <cell r="J296" t="str">
            <v>ГСБ "Амонатбанк"</v>
          </cell>
          <cell r="K296">
            <v>2303976</v>
          </cell>
          <cell r="L296">
            <v>95999</v>
          </cell>
          <cell r="M296">
            <v>1</v>
          </cell>
          <cell r="N296">
            <v>2303976</v>
          </cell>
        </row>
        <row r="297">
          <cell r="A297">
            <v>2003</v>
          </cell>
          <cell r="B297">
            <v>2</v>
          </cell>
          <cell r="C297">
            <v>2</v>
          </cell>
          <cell r="D297">
            <v>90</v>
          </cell>
          <cell r="E297">
            <v>2</v>
          </cell>
          <cell r="F297" t="str">
            <v>TJS</v>
          </cell>
          <cell r="G297">
            <v>15</v>
          </cell>
          <cell r="H297">
            <v>116437</v>
          </cell>
          <cell r="I297">
            <v>21</v>
          </cell>
          <cell r="J297" t="str">
            <v>ГСБ "Амонатбанк"</v>
          </cell>
          <cell r="K297">
            <v>1746555</v>
          </cell>
          <cell r="L297">
            <v>116437</v>
          </cell>
          <cell r="M297">
            <v>1</v>
          </cell>
          <cell r="N297">
            <v>1746555</v>
          </cell>
        </row>
        <row r="298">
          <cell r="A298">
            <v>2003</v>
          </cell>
          <cell r="B298">
            <v>2</v>
          </cell>
          <cell r="C298">
            <v>3</v>
          </cell>
          <cell r="D298">
            <v>360</v>
          </cell>
          <cell r="E298">
            <v>2</v>
          </cell>
          <cell r="F298" t="str">
            <v>TJS</v>
          </cell>
          <cell r="G298">
            <v>2</v>
          </cell>
          <cell r="H298">
            <v>1216117</v>
          </cell>
          <cell r="I298">
            <v>23506</v>
          </cell>
          <cell r="J298" t="str">
            <v>ГСБ "Амонатбанк"</v>
          </cell>
          <cell r="K298">
            <v>2432234</v>
          </cell>
          <cell r="L298">
            <v>1216117</v>
          </cell>
          <cell r="M298">
            <v>1</v>
          </cell>
          <cell r="N298">
            <v>2432234</v>
          </cell>
        </row>
        <row r="299">
          <cell r="A299">
            <v>2003</v>
          </cell>
          <cell r="B299">
            <v>2</v>
          </cell>
          <cell r="C299">
            <v>1</v>
          </cell>
          <cell r="D299">
            <v>0</v>
          </cell>
          <cell r="E299">
            <v>1</v>
          </cell>
          <cell r="F299" t="str">
            <v>TJS</v>
          </cell>
          <cell r="G299">
            <v>0</v>
          </cell>
          <cell r="H299">
            <v>19086818</v>
          </cell>
          <cell r="I299">
            <v>4026</v>
          </cell>
          <cell r="J299" t="str">
            <v>ГСБ "Амонатбанк"</v>
          </cell>
          <cell r="K299">
            <v>0</v>
          </cell>
          <cell r="L299">
            <v>19086818</v>
          </cell>
          <cell r="M299">
            <v>1</v>
          </cell>
          <cell r="N299">
            <v>0</v>
          </cell>
        </row>
        <row r="300">
          <cell r="A300">
            <v>2003</v>
          </cell>
          <cell r="B300">
            <v>2</v>
          </cell>
          <cell r="C300">
            <v>1</v>
          </cell>
          <cell r="D300">
            <v>0</v>
          </cell>
          <cell r="E300">
            <v>1</v>
          </cell>
          <cell r="F300" t="str">
            <v>TJS</v>
          </cell>
          <cell r="G300">
            <v>0</v>
          </cell>
          <cell r="H300">
            <v>53307126</v>
          </cell>
          <cell r="I300">
            <v>1854</v>
          </cell>
          <cell r="J300" t="str">
            <v>ГСБ "Амонатбанк"</v>
          </cell>
          <cell r="K300">
            <v>0</v>
          </cell>
          <cell r="L300">
            <v>53307126</v>
          </cell>
          <cell r="M300">
            <v>1</v>
          </cell>
          <cell r="N300">
            <v>0</v>
          </cell>
        </row>
        <row r="301">
          <cell r="A301">
            <v>2003</v>
          </cell>
          <cell r="B301">
            <v>2</v>
          </cell>
          <cell r="C301">
            <v>2</v>
          </cell>
          <cell r="D301">
            <v>180</v>
          </cell>
          <cell r="E301">
            <v>2</v>
          </cell>
          <cell r="F301" t="str">
            <v>USD</v>
          </cell>
          <cell r="G301">
            <v>7</v>
          </cell>
          <cell r="H301">
            <v>229</v>
          </cell>
          <cell r="I301">
            <v>3</v>
          </cell>
          <cell r="J301" t="str">
            <v>ГСБ "Амонатбанк"</v>
          </cell>
          <cell r="K301">
            <v>1603</v>
          </cell>
          <cell r="L301">
            <v>227.3695792880259</v>
          </cell>
          <cell r="M301">
            <v>0.9928802588996765</v>
          </cell>
          <cell r="N301">
            <v>1591.5870550161815</v>
          </cell>
        </row>
        <row r="302">
          <cell r="A302">
            <v>2003</v>
          </cell>
          <cell r="B302">
            <v>2</v>
          </cell>
          <cell r="C302">
            <v>1</v>
          </cell>
          <cell r="D302">
            <v>0</v>
          </cell>
          <cell r="E302">
            <v>2</v>
          </cell>
          <cell r="F302" t="str">
            <v>USD</v>
          </cell>
          <cell r="G302">
            <v>0</v>
          </cell>
          <cell r="H302">
            <v>7910</v>
          </cell>
          <cell r="I302">
            <v>14</v>
          </cell>
          <cell r="J302" t="str">
            <v>ГСБ "Амонатбанк"</v>
          </cell>
          <cell r="K302">
            <v>0</v>
          </cell>
          <cell r="L302">
            <v>7853.682847896441</v>
          </cell>
          <cell r="M302">
            <v>0.9928802588996765</v>
          </cell>
          <cell r="N302">
            <v>0</v>
          </cell>
        </row>
        <row r="303">
          <cell r="A303">
            <v>2003</v>
          </cell>
          <cell r="B303">
            <v>2</v>
          </cell>
          <cell r="C303">
            <v>2</v>
          </cell>
          <cell r="D303">
            <v>90</v>
          </cell>
          <cell r="E303">
            <v>2</v>
          </cell>
          <cell r="F303" t="str">
            <v>USD</v>
          </cell>
          <cell r="G303">
            <v>6</v>
          </cell>
          <cell r="H303">
            <v>10105</v>
          </cell>
          <cell r="I303">
            <v>11</v>
          </cell>
          <cell r="J303" t="str">
            <v>ГСБ "Амонатбанк"</v>
          </cell>
          <cell r="K303">
            <v>60630</v>
          </cell>
          <cell r="L303">
            <v>10033.05501618123</v>
          </cell>
          <cell r="M303">
            <v>0.9928802588996765</v>
          </cell>
          <cell r="N303">
            <v>60198.33009708738</v>
          </cell>
        </row>
        <row r="304">
          <cell r="A304">
            <v>2003</v>
          </cell>
          <cell r="B304">
            <v>2</v>
          </cell>
          <cell r="C304">
            <v>2</v>
          </cell>
          <cell r="D304">
            <v>360</v>
          </cell>
          <cell r="E304">
            <v>2</v>
          </cell>
          <cell r="F304" t="str">
            <v>USD</v>
          </cell>
          <cell r="G304">
            <v>12</v>
          </cell>
          <cell r="H304">
            <v>24717</v>
          </cell>
          <cell r="I304">
            <v>28</v>
          </cell>
          <cell r="J304" t="str">
            <v>ГСБ "Амонатбанк"</v>
          </cell>
          <cell r="K304">
            <v>296604</v>
          </cell>
          <cell r="L304">
            <v>24541.0213592233</v>
          </cell>
          <cell r="M304">
            <v>0.9928802588996765</v>
          </cell>
          <cell r="N304">
            <v>294492.25631067966</v>
          </cell>
        </row>
        <row r="305">
          <cell r="A305">
            <v>2003</v>
          </cell>
          <cell r="B305">
            <v>2</v>
          </cell>
          <cell r="C305">
            <v>2</v>
          </cell>
          <cell r="D305">
            <v>1080</v>
          </cell>
          <cell r="E305">
            <v>2</v>
          </cell>
          <cell r="F305" t="str">
            <v>USD</v>
          </cell>
          <cell r="G305">
            <v>15</v>
          </cell>
          <cell r="H305">
            <v>31790</v>
          </cell>
          <cell r="I305">
            <v>25</v>
          </cell>
          <cell r="J305" t="str">
            <v>ГСБ "Амонатбанк"</v>
          </cell>
          <cell r="K305">
            <v>476850</v>
          </cell>
          <cell r="L305">
            <v>31563.663430420715</v>
          </cell>
          <cell r="M305">
            <v>0.9928802588996765</v>
          </cell>
          <cell r="N305">
            <v>473454.9514563107</v>
          </cell>
        </row>
        <row r="306">
          <cell r="A306">
            <v>2003</v>
          </cell>
          <cell r="B306">
            <v>2</v>
          </cell>
          <cell r="C306">
            <v>1</v>
          </cell>
          <cell r="D306">
            <v>0</v>
          </cell>
          <cell r="E306">
            <v>1</v>
          </cell>
          <cell r="F306" t="str">
            <v>USD</v>
          </cell>
          <cell r="G306">
            <v>0</v>
          </cell>
          <cell r="H306">
            <v>6076756</v>
          </cell>
          <cell r="I306">
            <v>37</v>
          </cell>
          <cell r="J306" t="str">
            <v>ГСБ "Амонатбанк"</v>
          </cell>
          <cell r="K306">
            <v>0</v>
          </cell>
          <cell r="L306">
            <v>6033491.070550162</v>
          </cell>
          <cell r="M306">
            <v>0.9928802588996765</v>
          </cell>
          <cell r="N306">
            <v>0</v>
          </cell>
        </row>
        <row r="307">
          <cell r="A307">
            <v>2003</v>
          </cell>
          <cell r="B307">
            <v>2</v>
          </cell>
          <cell r="C307">
            <v>1</v>
          </cell>
          <cell r="D307">
            <v>0</v>
          </cell>
          <cell r="E307">
            <v>2</v>
          </cell>
          <cell r="F307" t="str">
            <v>TJS</v>
          </cell>
          <cell r="G307">
            <v>0</v>
          </cell>
          <cell r="H307">
            <v>3472</v>
          </cell>
          <cell r="I307">
            <v>2</v>
          </cell>
          <cell r="J307" t="str">
            <v>КТОО "Фонон"</v>
          </cell>
          <cell r="K307">
            <v>0</v>
          </cell>
          <cell r="L307">
            <v>3472</v>
          </cell>
          <cell r="M307">
            <v>1</v>
          </cell>
          <cell r="N307">
            <v>0</v>
          </cell>
        </row>
        <row r="308">
          <cell r="A308">
            <v>2003</v>
          </cell>
          <cell r="B308">
            <v>2</v>
          </cell>
          <cell r="C308">
            <v>1</v>
          </cell>
          <cell r="D308">
            <v>0</v>
          </cell>
          <cell r="E308">
            <v>1</v>
          </cell>
          <cell r="F308" t="str">
            <v>TJS</v>
          </cell>
          <cell r="G308">
            <v>0</v>
          </cell>
          <cell r="H308">
            <v>107611</v>
          </cell>
          <cell r="I308">
            <v>11</v>
          </cell>
          <cell r="J308" t="str">
            <v>КТОО "Фонон"</v>
          </cell>
          <cell r="K308">
            <v>0</v>
          </cell>
          <cell r="L308">
            <v>107611</v>
          </cell>
          <cell r="M308">
            <v>1</v>
          </cell>
          <cell r="N308">
            <v>0</v>
          </cell>
        </row>
        <row r="309">
          <cell r="A309">
            <v>2003</v>
          </cell>
          <cell r="B309">
            <v>2</v>
          </cell>
          <cell r="C309">
            <v>1</v>
          </cell>
          <cell r="D309">
            <v>0</v>
          </cell>
          <cell r="E309">
            <v>1</v>
          </cell>
          <cell r="F309" t="str">
            <v>USD</v>
          </cell>
          <cell r="G309">
            <v>0</v>
          </cell>
          <cell r="H309">
            <v>152</v>
          </cell>
          <cell r="I309">
            <v>1</v>
          </cell>
          <cell r="J309" t="str">
            <v>КТОО "Фонон"</v>
          </cell>
          <cell r="K309">
            <v>0</v>
          </cell>
          <cell r="L309">
            <v>150.91779935275082</v>
          </cell>
          <cell r="M309">
            <v>0.9928802588996765</v>
          </cell>
          <cell r="N309">
            <v>0</v>
          </cell>
        </row>
        <row r="310">
          <cell r="A310">
            <v>2003</v>
          </cell>
          <cell r="B310">
            <v>2</v>
          </cell>
          <cell r="C310">
            <v>1</v>
          </cell>
          <cell r="D310">
            <v>0</v>
          </cell>
          <cell r="E310">
            <v>2</v>
          </cell>
          <cell r="F310" t="str">
            <v>USD</v>
          </cell>
          <cell r="G310">
            <v>0</v>
          </cell>
          <cell r="H310">
            <v>2013</v>
          </cell>
          <cell r="I310">
            <v>1</v>
          </cell>
          <cell r="J310" t="str">
            <v>КТОО "Фонон"</v>
          </cell>
          <cell r="K310">
            <v>0</v>
          </cell>
          <cell r="L310">
            <v>1998.6679611650486</v>
          </cell>
          <cell r="M310">
            <v>0.9928802588996765</v>
          </cell>
          <cell r="N310">
            <v>0</v>
          </cell>
        </row>
        <row r="311">
          <cell r="A311">
            <v>2003</v>
          </cell>
          <cell r="B311">
            <v>2</v>
          </cell>
          <cell r="C311">
            <v>1</v>
          </cell>
          <cell r="D311">
            <v>0</v>
          </cell>
          <cell r="E311">
            <v>1</v>
          </cell>
          <cell r="F311" t="str">
            <v>RUR</v>
          </cell>
          <cell r="G311">
            <v>0</v>
          </cell>
          <cell r="H311">
            <v>801570</v>
          </cell>
          <cell r="I311">
            <v>1</v>
          </cell>
          <cell r="J311" t="str">
            <v>СЛТ АКБ "Ист-Кредитбанк"</v>
          </cell>
          <cell r="K311">
            <v>0</v>
          </cell>
          <cell r="L311">
            <v>766342.2161046113</v>
          </cell>
          <cell r="M311">
            <v>0.9560515190246781</v>
          </cell>
          <cell r="N311">
            <v>0</v>
          </cell>
        </row>
        <row r="312">
          <cell r="A312">
            <v>2003</v>
          </cell>
          <cell r="B312">
            <v>2</v>
          </cell>
          <cell r="C312">
            <v>1</v>
          </cell>
          <cell r="D312">
            <v>0</v>
          </cell>
          <cell r="E312">
            <v>1</v>
          </cell>
          <cell r="F312" t="str">
            <v>TJS</v>
          </cell>
          <cell r="G312">
            <v>0</v>
          </cell>
          <cell r="H312">
            <v>1506160</v>
          </cell>
          <cell r="I312">
            <v>3</v>
          </cell>
          <cell r="J312" t="str">
            <v>СЛТ АКБ "Ист-Кредитбанк"</v>
          </cell>
          <cell r="K312">
            <v>0</v>
          </cell>
          <cell r="L312">
            <v>1506160</v>
          </cell>
          <cell r="M312">
            <v>1</v>
          </cell>
          <cell r="N312">
            <v>0</v>
          </cell>
        </row>
        <row r="313">
          <cell r="A313">
            <v>2003</v>
          </cell>
          <cell r="B313">
            <v>2</v>
          </cell>
          <cell r="C313">
            <v>1</v>
          </cell>
          <cell r="D313">
            <v>0</v>
          </cell>
          <cell r="E313">
            <v>1</v>
          </cell>
          <cell r="F313" t="str">
            <v>USD</v>
          </cell>
          <cell r="G313">
            <v>0</v>
          </cell>
          <cell r="H313">
            <v>387641</v>
          </cell>
          <cell r="I313">
            <v>3</v>
          </cell>
          <cell r="J313" t="str">
            <v>СЛТ АКБ "Ист-Кредитбанк"</v>
          </cell>
          <cell r="K313">
            <v>0</v>
          </cell>
          <cell r="L313">
            <v>384881.0964401295</v>
          </cell>
          <cell r="M313">
            <v>0.9928802588996765</v>
          </cell>
          <cell r="N313">
            <v>0</v>
          </cell>
        </row>
        <row r="314">
          <cell r="A314">
            <v>2003</v>
          </cell>
          <cell r="B314">
            <v>2</v>
          </cell>
          <cell r="C314">
            <v>1</v>
          </cell>
          <cell r="D314">
            <v>0</v>
          </cell>
          <cell r="E314">
            <v>1</v>
          </cell>
          <cell r="F314" t="str">
            <v>TJS</v>
          </cell>
          <cell r="G314">
            <v>0</v>
          </cell>
          <cell r="H314">
            <v>111397</v>
          </cell>
          <cell r="I314">
            <v>15</v>
          </cell>
          <cell r="J314" t="str">
            <v>СТК "Центрально-Азиатский банк"</v>
          </cell>
          <cell r="K314">
            <v>0</v>
          </cell>
          <cell r="L314">
            <v>111397</v>
          </cell>
          <cell r="M314">
            <v>1</v>
          </cell>
          <cell r="N314">
            <v>0</v>
          </cell>
        </row>
        <row r="315">
          <cell r="A315">
            <v>2003</v>
          </cell>
          <cell r="B315">
            <v>2</v>
          </cell>
          <cell r="C315">
            <v>3</v>
          </cell>
          <cell r="D315">
            <v>0</v>
          </cell>
          <cell r="E315">
            <v>2</v>
          </cell>
          <cell r="F315" t="str">
            <v>USD</v>
          </cell>
          <cell r="G315">
            <v>0</v>
          </cell>
          <cell r="H315">
            <v>9204</v>
          </cell>
          <cell r="I315">
            <v>1</v>
          </cell>
          <cell r="J315" t="str">
            <v>СТК "Центрально-Азиатский банк"</v>
          </cell>
          <cell r="K315">
            <v>0</v>
          </cell>
          <cell r="L315">
            <v>9138.469902912622</v>
          </cell>
          <cell r="M315">
            <v>0.9928802588996765</v>
          </cell>
          <cell r="N315">
            <v>0</v>
          </cell>
        </row>
        <row r="316">
          <cell r="A316">
            <v>2003</v>
          </cell>
          <cell r="B316">
            <v>2</v>
          </cell>
          <cell r="C316">
            <v>1</v>
          </cell>
          <cell r="D316">
            <v>0</v>
          </cell>
          <cell r="E316">
            <v>1</v>
          </cell>
          <cell r="F316" t="str">
            <v>USD</v>
          </cell>
          <cell r="G316">
            <v>0</v>
          </cell>
          <cell r="H316">
            <v>43570</v>
          </cell>
          <cell r="I316">
            <v>3</v>
          </cell>
          <cell r="J316" t="str">
            <v>СТК "Центрально-Азиатский банк"</v>
          </cell>
          <cell r="K316">
            <v>0</v>
          </cell>
          <cell r="L316">
            <v>43259.7928802589</v>
          </cell>
          <cell r="M316">
            <v>0.9928802588996765</v>
          </cell>
          <cell r="N316">
            <v>0</v>
          </cell>
        </row>
        <row r="317">
          <cell r="A317">
            <v>2003</v>
          </cell>
          <cell r="B317">
            <v>2</v>
          </cell>
          <cell r="C317">
            <v>2</v>
          </cell>
          <cell r="D317">
            <v>360</v>
          </cell>
          <cell r="E317">
            <v>2</v>
          </cell>
          <cell r="F317" t="str">
            <v>USD</v>
          </cell>
          <cell r="G317">
            <v>20</v>
          </cell>
          <cell r="H317">
            <v>64842</v>
          </cell>
          <cell r="I317">
            <v>2</v>
          </cell>
          <cell r="J317" t="str">
            <v>СТК "Центрально-Азиатский банк"</v>
          </cell>
          <cell r="K317">
            <v>1296840</v>
          </cell>
          <cell r="L317">
            <v>64380.34174757282</v>
          </cell>
          <cell r="M317">
            <v>0.9928802588996765</v>
          </cell>
          <cell r="N317">
            <v>1287606.8349514564</v>
          </cell>
        </row>
        <row r="318">
          <cell r="A318">
            <v>2003</v>
          </cell>
          <cell r="B318">
            <v>2</v>
          </cell>
          <cell r="C318">
            <v>2</v>
          </cell>
          <cell r="D318">
            <v>30</v>
          </cell>
          <cell r="E318">
            <v>2</v>
          </cell>
          <cell r="F318" t="str">
            <v>TJS</v>
          </cell>
          <cell r="G318">
            <v>0</v>
          </cell>
          <cell r="H318">
            <v>1295</v>
          </cell>
          <cell r="I318">
            <v>1</v>
          </cell>
          <cell r="J318" t="str">
            <v>ТАК ПБРР "Таджпромбанк"</v>
          </cell>
          <cell r="K318">
            <v>0</v>
          </cell>
          <cell r="L318">
            <v>1295</v>
          </cell>
          <cell r="M318">
            <v>1</v>
          </cell>
          <cell r="N318">
            <v>0</v>
          </cell>
        </row>
        <row r="319">
          <cell r="A319">
            <v>2003</v>
          </cell>
          <cell r="B319">
            <v>2</v>
          </cell>
          <cell r="C319">
            <v>3</v>
          </cell>
          <cell r="D319">
            <v>30</v>
          </cell>
          <cell r="E319">
            <v>2</v>
          </cell>
          <cell r="F319" t="str">
            <v>TJS</v>
          </cell>
          <cell r="G319">
            <v>0</v>
          </cell>
          <cell r="H319">
            <v>8998</v>
          </cell>
          <cell r="I319">
            <v>1</v>
          </cell>
          <cell r="J319" t="str">
            <v>ТАК ПБРР "Таджпромбанк"</v>
          </cell>
          <cell r="K319">
            <v>0</v>
          </cell>
          <cell r="L319">
            <v>8998</v>
          </cell>
          <cell r="M319">
            <v>1</v>
          </cell>
          <cell r="N319">
            <v>0</v>
          </cell>
        </row>
        <row r="320">
          <cell r="A320">
            <v>2003</v>
          </cell>
          <cell r="B320">
            <v>2</v>
          </cell>
          <cell r="C320">
            <v>1</v>
          </cell>
          <cell r="D320">
            <v>0</v>
          </cell>
          <cell r="E320">
            <v>2</v>
          </cell>
          <cell r="F320" t="str">
            <v>TJS</v>
          </cell>
          <cell r="G320">
            <v>0</v>
          </cell>
          <cell r="H320">
            <v>887430</v>
          </cell>
          <cell r="I320">
            <v>9</v>
          </cell>
          <cell r="J320" t="str">
            <v>ТАК ПБРР "Таджпромбанк"</v>
          </cell>
          <cell r="K320">
            <v>0</v>
          </cell>
          <cell r="L320">
            <v>887430</v>
          </cell>
          <cell r="M320">
            <v>1</v>
          </cell>
          <cell r="N320">
            <v>0</v>
          </cell>
        </row>
        <row r="321">
          <cell r="A321">
            <v>2003</v>
          </cell>
          <cell r="B321">
            <v>2</v>
          </cell>
          <cell r="C321">
            <v>1</v>
          </cell>
          <cell r="D321">
            <v>0</v>
          </cell>
          <cell r="E321">
            <v>1</v>
          </cell>
          <cell r="F321" t="str">
            <v>TJS</v>
          </cell>
          <cell r="G321">
            <v>0</v>
          </cell>
          <cell r="H321">
            <v>15178848</v>
          </cell>
          <cell r="I321">
            <v>68</v>
          </cell>
          <cell r="J321" t="str">
            <v>ТАК ПБРР "Таджпромбанк"</v>
          </cell>
          <cell r="K321">
            <v>0</v>
          </cell>
          <cell r="L321">
            <v>15178848</v>
          </cell>
          <cell r="M321">
            <v>1</v>
          </cell>
          <cell r="N321">
            <v>0</v>
          </cell>
        </row>
        <row r="322">
          <cell r="A322">
            <v>2003</v>
          </cell>
          <cell r="B322">
            <v>2</v>
          </cell>
          <cell r="C322">
            <v>2</v>
          </cell>
          <cell r="D322">
            <v>370</v>
          </cell>
          <cell r="E322">
            <v>2</v>
          </cell>
          <cell r="F322" t="str">
            <v>USD</v>
          </cell>
          <cell r="G322">
            <v>18</v>
          </cell>
          <cell r="H322">
            <v>467</v>
          </cell>
          <cell r="I322">
            <v>1</v>
          </cell>
          <cell r="J322" t="str">
            <v>ТАК ПБРР "Таджпромбанк"</v>
          </cell>
          <cell r="K322">
            <v>8406</v>
          </cell>
          <cell r="L322">
            <v>463.67508090614893</v>
          </cell>
          <cell r="M322">
            <v>0.9928802588996765</v>
          </cell>
          <cell r="N322">
            <v>8346.151456310681</v>
          </cell>
        </row>
        <row r="323">
          <cell r="A323">
            <v>2003</v>
          </cell>
          <cell r="B323">
            <v>2</v>
          </cell>
          <cell r="C323">
            <v>2</v>
          </cell>
          <cell r="D323">
            <v>360</v>
          </cell>
          <cell r="E323">
            <v>2</v>
          </cell>
          <cell r="F323" t="str">
            <v>USD</v>
          </cell>
          <cell r="G323">
            <v>18</v>
          </cell>
          <cell r="H323">
            <v>920</v>
          </cell>
          <cell r="I323">
            <v>1</v>
          </cell>
          <cell r="J323" t="str">
            <v>ТАК ПБРР "Таджпромбанк"</v>
          </cell>
          <cell r="K323">
            <v>16560</v>
          </cell>
          <cell r="L323">
            <v>913.4498381877023</v>
          </cell>
          <cell r="M323">
            <v>0.9928802588996765</v>
          </cell>
          <cell r="N323">
            <v>16442.097087378643</v>
          </cell>
        </row>
        <row r="324">
          <cell r="A324">
            <v>2003</v>
          </cell>
          <cell r="B324">
            <v>2</v>
          </cell>
          <cell r="C324">
            <v>2</v>
          </cell>
          <cell r="D324">
            <v>180</v>
          </cell>
          <cell r="E324">
            <v>2</v>
          </cell>
          <cell r="F324" t="str">
            <v>USD</v>
          </cell>
          <cell r="G324">
            <v>15</v>
          </cell>
          <cell r="H324">
            <v>3068</v>
          </cell>
          <cell r="I324">
            <v>1</v>
          </cell>
          <cell r="J324" t="str">
            <v>ТАК ПБРР "Таджпромбанк"</v>
          </cell>
          <cell r="K324">
            <v>46020</v>
          </cell>
          <cell r="L324">
            <v>3046.1566343042073</v>
          </cell>
          <cell r="M324">
            <v>0.9928802588996765</v>
          </cell>
          <cell r="N324">
            <v>45692.34951456311</v>
          </cell>
        </row>
        <row r="325">
          <cell r="A325">
            <v>2003</v>
          </cell>
          <cell r="B325">
            <v>2</v>
          </cell>
          <cell r="C325">
            <v>2</v>
          </cell>
          <cell r="D325">
            <v>720</v>
          </cell>
          <cell r="E325">
            <v>2</v>
          </cell>
          <cell r="F325" t="str">
            <v>USD</v>
          </cell>
          <cell r="G325">
            <v>18</v>
          </cell>
          <cell r="H325">
            <v>8008</v>
          </cell>
          <cell r="I325">
            <v>2</v>
          </cell>
          <cell r="J325" t="str">
            <v>ТАК ПБРР "Таджпромбанк"</v>
          </cell>
          <cell r="K325">
            <v>144144</v>
          </cell>
          <cell r="L325">
            <v>7950.985113268609</v>
          </cell>
          <cell r="M325">
            <v>0.9928802588996765</v>
          </cell>
          <cell r="N325">
            <v>143117.73203883498</v>
          </cell>
        </row>
        <row r="326">
          <cell r="A326">
            <v>2003</v>
          </cell>
          <cell r="B326">
            <v>2</v>
          </cell>
          <cell r="C326">
            <v>2</v>
          </cell>
          <cell r="D326">
            <v>190</v>
          </cell>
          <cell r="E326">
            <v>2</v>
          </cell>
          <cell r="F326" t="str">
            <v>USD</v>
          </cell>
          <cell r="G326">
            <v>18</v>
          </cell>
          <cell r="H326">
            <v>10124</v>
          </cell>
          <cell r="I326">
            <v>1</v>
          </cell>
          <cell r="J326" t="str">
            <v>ТАК ПБРР "Таджпромбанк"</v>
          </cell>
          <cell r="K326">
            <v>182232</v>
          </cell>
          <cell r="L326">
            <v>10051.919741100324</v>
          </cell>
          <cell r="M326">
            <v>0.9928802588996765</v>
          </cell>
          <cell r="N326">
            <v>180934.55533980584</v>
          </cell>
        </row>
        <row r="327">
          <cell r="A327">
            <v>2003</v>
          </cell>
          <cell r="B327">
            <v>2</v>
          </cell>
          <cell r="C327">
            <v>1</v>
          </cell>
          <cell r="D327">
            <v>0</v>
          </cell>
          <cell r="E327">
            <v>2</v>
          </cell>
          <cell r="F327" t="str">
            <v>USD</v>
          </cell>
          <cell r="G327">
            <v>0</v>
          </cell>
          <cell r="H327">
            <v>10826</v>
          </cell>
          <cell r="I327">
            <v>2</v>
          </cell>
          <cell r="J327" t="str">
            <v>ТАК ПБРР "Таджпромбанк"</v>
          </cell>
          <cell r="K327">
            <v>0</v>
          </cell>
          <cell r="L327">
            <v>10748.921682847897</v>
          </cell>
          <cell r="M327">
            <v>0.9928802588996765</v>
          </cell>
          <cell r="N327">
            <v>0</v>
          </cell>
        </row>
        <row r="328">
          <cell r="A328">
            <v>2003</v>
          </cell>
          <cell r="B328">
            <v>2</v>
          </cell>
          <cell r="C328">
            <v>1</v>
          </cell>
          <cell r="D328">
            <v>0</v>
          </cell>
          <cell r="E328">
            <v>2</v>
          </cell>
          <cell r="F328" t="str">
            <v>USD</v>
          </cell>
          <cell r="G328">
            <v>16</v>
          </cell>
          <cell r="H328">
            <v>102778</v>
          </cell>
          <cell r="I328">
            <v>4</v>
          </cell>
          <cell r="J328" t="str">
            <v>ТАК ПБРР "Таджпромбанк"</v>
          </cell>
          <cell r="K328">
            <v>1644448</v>
          </cell>
          <cell r="L328">
            <v>102046.24724919094</v>
          </cell>
          <cell r="M328">
            <v>0.9928802588996765</v>
          </cell>
          <cell r="N328">
            <v>1632739.955987055</v>
          </cell>
        </row>
        <row r="329">
          <cell r="A329">
            <v>2003</v>
          </cell>
          <cell r="B329">
            <v>2</v>
          </cell>
          <cell r="C329">
            <v>1</v>
          </cell>
          <cell r="D329">
            <v>0</v>
          </cell>
          <cell r="E329">
            <v>1</v>
          </cell>
          <cell r="F329" t="str">
            <v>USD</v>
          </cell>
          <cell r="G329">
            <v>0</v>
          </cell>
          <cell r="H329">
            <v>42135477</v>
          </cell>
          <cell r="I329">
            <v>19</v>
          </cell>
          <cell r="J329" t="str">
            <v>ТАК ПБРР "Таджпромбанк"</v>
          </cell>
          <cell r="K329">
            <v>0</v>
          </cell>
          <cell r="L329">
            <v>41835483.31262136</v>
          </cell>
          <cell r="M329">
            <v>0.9928802588996765</v>
          </cell>
          <cell r="N329">
            <v>0</v>
          </cell>
        </row>
        <row r="330">
          <cell r="A330">
            <v>2003</v>
          </cell>
          <cell r="B330">
            <v>2</v>
          </cell>
          <cell r="C330">
            <v>1</v>
          </cell>
          <cell r="D330">
            <v>0</v>
          </cell>
          <cell r="E330">
            <v>1</v>
          </cell>
          <cell r="F330" t="str">
            <v>EURO</v>
          </cell>
          <cell r="G330">
            <v>0</v>
          </cell>
          <cell r="H330">
            <v>151119</v>
          </cell>
          <cell r="I330">
            <v>3</v>
          </cell>
          <cell r="J330" t="str">
            <v>ТАК ПСБ "Ориёнбанк"</v>
          </cell>
          <cell r="K330">
            <v>0</v>
          </cell>
          <cell r="L330">
            <v>138775.03808941282</v>
          </cell>
          <cell r="M330">
            <v>0.91831628113879</v>
          </cell>
          <cell r="N330">
            <v>0</v>
          </cell>
        </row>
        <row r="331">
          <cell r="A331">
            <v>2003</v>
          </cell>
          <cell r="B331">
            <v>2</v>
          </cell>
          <cell r="C331">
            <v>1</v>
          </cell>
          <cell r="D331">
            <v>0</v>
          </cell>
          <cell r="E331">
            <v>1</v>
          </cell>
          <cell r="F331" t="str">
            <v>RUR</v>
          </cell>
          <cell r="G331">
            <v>0</v>
          </cell>
          <cell r="H331">
            <v>1506935</v>
          </cell>
          <cell r="I331">
            <v>96</v>
          </cell>
          <cell r="J331" t="str">
            <v>ТАК ПСБ "Ориёнбанк"</v>
          </cell>
          <cell r="K331">
            <v>0</v>
          </cell>
          <cell r="L331">
            <v>1440707.4958214534</v>
          </cell>
          <cell r="M331">
            <v>0.9560515190246781</v>
          </cell>
          <cell r="N331">
            <v>0</v>
          </cell>
        </row>
        <row r="332">
          <cell r="A332">
            <v>2003</v>
          </cell>
          <cell r="B332">
            <v>2</v>
          </cell>
          <cell r="C332">
            <v>2</v>
          </cell>
          <cell r="D332">
            <v>360</v>
          </cell>
          <cell r="E332">
            <v>2</v>
          </cell>
          <cell r="F332" t="str">
            <v>TJS</v>
          </cell>
          <cell r="G332">
            <v>20</v>
          </cell>
          <cell r="H332">
            <v>93</v>
          </cell>
          <cell r="I332">
            <v>3</v>
          </cell>
          <cell r="J332" t="str">
            <v>ТАК ПСБ "Ориёнбанк"</v>
          </cell>
          <cell r="K332">
            <v>1860</v>
          </cell>
          <cell r="L332">
            <v>93</v>
          </cell>
          <cell r="M332">
            <v>1</v>
          </cell>
          <cell r="N332">
            <v>1860</v>
          </cell>
        </row>
        <row r="333">
          <cell r="A333">
            <v>2003</v>
          </cell>
          <cell r="B333">
            <v>2</v>
          </cell>
          <cell r="C333">
            <v>2</v>
          </cell>
          <cell r="D333">
            <v>180</v>
          </cell>
          <cell r="E333">
            <v>2</v>
          </cell>
          <cell r="F333" t="str">
            <v>TJS</v>
          </cell>
          <cell r="G333">
            <v>15</v>
          </cell>
          <cell r="H333">
            <v>100</v>
          </cell>
          <cell r="I333">
            <v>1</v>
          </cell>
          <cell r="J333" t="str">
            <v>ТАК ПСБ "Ориёнбанк"</v>
          </cell>
          <cell r="K333">
            <v>1500</v>
          </cell>
          <cell r="L333">
            <v>100</v>
          </cell>
          <cell r="M333">
            <v>1</v>
          </cell>
          <cell r="N333">
            <v>1500</v>
          </cell>
        </row>
        <row r="334">
          <cell r="A334">
            <v>2003</v>
          </cell>
          <cell r="B334">
            <v>2</v>
          </cell>
          <cell r="C334">
            <v>2</v>
          </cell>
          <cell r="D334">
            <v>90</v>
          </cell>
          <cell r="E334">
            <v>1</v>
          </cell>
          <cell r="F334" t="str">
            <v>TJS</v>
          </cell>
          <cell r="G334">
            <v>10</v>
          </cell>
          <cell r="H334">
            <v>3000</v>
          </cell>
          <cell r="I334">
            <v>1</v>
          </cell>
          <cell r="J334" t="str">
            <v>ТАК ПСБ "Ориёнбанк"</v>
          </cell>
          <cell r="K334">
            <v>30000</v>
          </cell>
          <cell r="L334">
            <v>3000</v>
          </cell>
          <cell r="M334">
            <v>1</v>
          </cell>
          <cell r="N334">
            <v>30000</v>
          </cell>
        </row>
        <row r="335">
          <cell r="A335">
            <v>2003</v>
          </cell>
          <cell r="B335">
            <v>2</v>
          </cell>
          <cell r="C335">
            <v>2</v>
          </cell>
          <cell r="D335">
            <v>1080</v>
          </cell>
          <cell r="E335">
            <v>2</v>
          </cell>
          <cell r="F335" t="str">
            <v>TJS</v>
          </cell>
          <cell r="G335">
            <v>30</v>
          </cell>
          <cell r="H335">
            <v>3174</v>
          </cell>
          <cell r="I335">
            <v>4</v>
          </cell>
          <cell r="J335" t="str">
            <v>ТАК ПСБ "Ориёнбанк"</v>
          </cell>
          <cell r="K335">
            <v>95220</v>
          </cell>
          <cell r="L335">
            <v>3174</v>
          </cell>
          <cell r="M335">
            <v>1</v>
          </cell>
          <cell r="N335">
            <v>95220</v>
          </cell>
        </row>
        <row r="336">
          <cell r="A336">
            <v>2003</v>
          </cell>
          <cell r="B336">
            <v>2</v>
          </cell>
          <cell r="C336">
            <v>2</v>
          </cell>
          <cell r="D336">
            <v>360</v>
          </cell>
          <cell r="E336">
            <v>2</v>
          </cell>
          <cell r="F336" t="str">
            <v>TJS</v>
          </cell>
          <cell r="G336">
            <v>12</v>
          </cell>
          <cell r="H336">
            <v>5000</v>
          </cell>
          <cell r="I336">
            <v>1</v>
          </cell>
          <cell r="J336" t="str">
            <v>ТАК ПСБ "Ориёнбанк"</v>
          </cell>
          <cell r="K336">
            <v>60000</v>
          </cell>
          <cell r="L336">
            <v>5000</v>
          </cell>
          <cell r="M336">
            <v>1</v>
          </cell>
          <cell r="N336">
            <v>60000</v>
          </cell>
        </row>
        <row r="337">
          <cell r="A337">
            <v>2003</v>
          </cell>
          <cell r="B337">
            <v>2</v>
          </cell>
          <cell r="C337">
            <v>2</v>
          </cell>
          <cell r="D337">
            <v>90</v>
          </cell>
          <cell r="E337">
            <v>2</v>
          </cell>
          <cell r="F337" t="str">
            <v>TJS</v>
          </cell>
          <cell r="G337">
            <v>12</v>
          </cell>
          <cell r="H337">
            <v>6000</v>
          </cell>
          <cell r="I337">
            <v>1</v>
          </cell>
          <cell r="J337" t="str">
            <v>ТАК ПСБ "Ориёнбанк"</v>
          </cell>
          <cell r="K337">
            <v>72000</v>
          </cell>
          <cell r="L337">
            <v>6000</v>
          </cell>
          <cell r="M337">
            <v>1</v>
          </cell>
          <cell r="N337">
            <v>72000</v>
          </cell>
        </row>
        <row r="338">
          <cell r="A338">
            <v>2003</v>
          </cell>
          <cell r="B338">
            <v>2</v>
          </cell>
          <cell r="C338">
            <v>2</v>
          </cell>
          <cell r="D338">
            <v>180</v>
          </cell>
          <cell r="E338">
            <v>1</v>
          </cell>
          <cell r="F338" t="str">
            <v>TJS</v>
          </cell>
          <cell r="G338">
            <v>17</v>
          </cell>
          <cell r="H338">
            <v>10000</v>
          </cell>
          <cell r="I338">
            <v>1</v>
          </cell>
          <cell r="J338" t="str">
            <v>ТАК ПСБ "Ориёнбанк"</v>
          </cell>
          <cell r="K338">
            <v>170000</v>
          </cell>
          <cell r="L338">
            <v>10000</v>
          </cell>
          <cell r="M338">
            <v>1</v>
          </cell>
          <cell r="N338">
            <v>170000</v>
          </cell>
        </row>
        <row r="339">
          <cell r="A339">
            <v>2003</v>
          </cell>
          <cell r="B339">
            <v>2</v>
          </cell>
          <cell r="C339">
            <v>2</v>
          </cell>
          <cell r="D339">
            <v>360</v>
          </cell>
          <cell r="E339">
            <v>1</v>
          </cell>
          <cell r="F339" t="str">
            <v>TJS</v>
          </cell>
          <cell r="G339">
            <v>20</v>
          </cell>
          <cell r="H339">
            <v>10000</v>
          </cell>
          <cell r="I339">
            <v>4</v>
          </cell>
          <cell r="J339" t="str">
            <v>ТАК ПСБ "Ориёнбанк"</v>
          </cell>
          <cell r="K339">
            <v>200000</v>
          </cell>
          <cell r="L339">
            <v>10000</v>
          </cell>
          <cell r="M339">
            <v>1</v>
          </cell>
          <cell r="N339">
            <v>200000</v>
          </cell>
        </row>
        <row r="340">
          <cell r="A340">
            <v>2003</v>
          </cell>
          <cell r="B340">
            <v>2</v>
          </cell>
          <cell r="C340">
            <v>2</v>
          </cell>
          <cell r="D340">
            <v>180</v>
          </cell>
          <cell r="E340">
            <v>1</v>
          </cell>
          <cell r="F340" t="str">
            <v>TJS</v>
          </cell>
          <cell r="G340">
            <v>12</v>
          </cell>
          <cell r="H340">
            <v>30080</v>
          </cell>
          <cell r="I340">
            <v>1</v>
          </cell>
          <cell r="J340" t="str">
            <v>ТАК ПСБ "Ориёнбанк"</v>
          </cell>
          <cell r="K340">
            <v>360960</v>
          </cell>
          <cell r="L340">
            <v>30080</v>
          </cell>
          <cell r="M340">
            <v>1</v>
          </cell>
          <cell r="N340">
            <v>360960</v>
          </cell>
        </row>
        <row r="341">
          <cell r="A341">
            <v>2003</v>
          </cell>
          <cell r="B341">
            <v>2</v>
          </cell>
          <cell r="C341">
            <v>2</v>
          </cell>
          <cell r="D341">
            <v>360</v>
          </cell>
          <cell r="E341">
            <v>1</v>
          </cell>
          <cell r="F341" t="str">
            <v>TJS</v>
          </cell>
          <cell r="G341">
            <v>12</v>
          </cell>
          <cell r="H341">
            <v>100000</v>
          </cell>
          <cell r="I341">
            <v>4</v>
          </cell>
          <cell r="J341" t="str">
            <v>ТАК ПСБ "Ориёнбанк"</v>
          </cell>
          <cell r="K341">
            <v>1200000</v>
          </cell>
          <cell r="L341">
            <v>100000</v>
          </cell>
          <cell r="M341">
            <v>1</v>
          </cell>
          <cell r="N341">
            <v>1200000</v>
          </cell>
        </row>
        <row r="342">
          <cell r="A342">
            <v>2003</v>
          </cell>
          <cell r="B342">
            <v>2</v>
          </cell>
          <cell r="C342">
            <v>3</v>
          </cell>
          <cell r="D342">
            <v>0</v>
          </cell>
          <cell r="E342">
            <v>2</v>
          </cell>
          <cell r="F342" t="str">
            <v>TJS</v>
          </cell>
          <cell r="G342">
            <v>5</v>
          </cell>
          <cell r="H342">
            <v>449172</v>
          </cell>
          <cell r="I342">
            <v>704</v>
          </cell>
          <cell r="J342" t="str">
            <v>ТАК ПСБ "Ориёнбанк"</v>
          </cell>
          <cell r="K342">
            <v>2245860</v>
          </cell>
          <cell r="L342">
            <v>449172</v>
          </cell>
          <cell r="M342">
            <v>1</v>
          </cell>
          <cell r="N342">
            <v>2245860</v>
          </cell>
        </row>
        <row r="343">
          <cell r="A343">
            <v>2003</v>
          </cell>
          <cell r="B343">
            <v>2</v>
          </cell>
          <cell r="C343">
            <v>1</v>
          </cell>
          <cell r="D343">
            <v>0</v>
          </cell>
          <cell r="E343">
            <v>1</v>
          </cell>
          <cell r="F343" t="str">
            <v>TJS</v>
          </cell>
          <cell r="G343">
            <v>0.5</v>
          </cell>
          <cell r="H343">
            <v>25953459</v>
          </cell>
          <cell r="I343">
            <v>1432</v>
          </cell>
          <cell r="J343" t="str">
            <v>ТАК ПСБ "Ориёнбанк"</v>
          </cell>
          <cell r="K343">
            <v>12976729.5</v>
          </cell>
          <cell r="L343">
            <v>25953459</v>
          </cell>
          <cell r="M343">
            <v>1</v>
          </cell>
          <cell r="N343">
            <v>12976729.5</v>
          </cell>
        </row>
        <row r="344">
          <cell r="A344">
            <v>2003</v>
          </cell>
          <cell r="B344">
            <v>2</v>
          </cell>
          <cell r="C344">
            <v>1</v>
          </cell>
          <cell r="D344">
            <v>0</v>
          </cell>
          <cell r="E344">
            <v>1</v>
          </cell>
          <cell r="F344" t="str">
            <v>TJS</v>
          </cell>
          <cell r="G344">
            <v>0</v>
          </cell>
          <cell r="H344">
            <v>36918409</v>
          </cell>
          <cell r="I344">
            <v>4996</v>
          </cell>
          <cell r="J344" t="str">
            <v>ТАК ПСБ "Ориёнбанк"</v>
          </cell>
          <cell r="K344">
            <v>0</v>
          </cell>
          <cell r="L344">
            <v>36918409</v>
          </cell>
          <cell r="M344">
            <v>1</v>
          </cell>
          <cell r="N344">
            <v>0</v>
          </cell>
        </row>
        <row r="345">
          <cell r="A345">
            <v>2003</v>
          </cell>
          <cell r="B345">
            <v>2</v>
          </cell>
          <cell r="C345">
            <v>3</v>
          </cell>
          <cell r="D345">
            <v>0</v>
          </cell>
          <cell r="E345">
            <v>2</v>
          </cell>
          <cell r="F345" t="str">
            <v>USD</v>
          </cell>
          <cell r="G345">
            <v>0</v>
          </cell>
          <cell r="H345">
            <v>19047</v>
          </cell>
          <cell r="I345">
            <v>336</v>
          </cell>
          <cell r="J345" t="str">
            <v>ТАК ПСБ "Ориёнбанк"</v>
          </cell>
          <cell r="K345">
            <v>0</v>
          </cell>
          <cell r="L345">
            <v>18911.390291262138</v>
          </cell>
          <cell r="M345">
            <v>0.9928802588996765</v>
          </cell>
          <cell r="N345">
            <v>0</v>
          </cell>
        </row>
        <row r="346">
          <cell r="A346">
            <v>2003</v>
          </cell>
          <cell r="B346">
            <v>2</v>
          </cell>
          <cell r="C346">
            <v>2</v>
          </cell>
          <cell r="D346">
            <v>390</v>
          </cell>
          <cell r="E346">
            <v>2</v>
          </cell>
          <cell r="F346" t="str">
            <v>USD</v>
          </cell>
          <cell r="G346">
            <v>20</v>
          </cell>
          <cell r="H346">
            <v>46020</v>
          </cell>
          <cell r="I346">
            <v>1</v>
          </cell>
          <cell r="J346" t="str">
            <v>ТАК ПСБ "Ориёнбанк"</v>
          </cell>
          <cell r="K346">
            <v>920400</v>
          </cell>
          <cell r="L346">
            <v>45692.34951456311</v>
          </cell>
          <cell r="M346">
            <v>0.9928802588996765</v>
          </cell>
          <cell r="N346">
            <v>913846.9902912622</v>
          </cell>
        </row>
        <row r="347">
          <cell r="A347">
            <v>2003</v>
          </cell>
          <cell r="B347">
            <v>2</v>
          </cell>
          <cell r="C347">
            <v>1</v>
          </cell>
          <cell r="D347">
            <v>0</v>
          </cell>
          <cell r="E347">
            <v>2</v>
          </cell>
          <cell r="F347" t="str">
            <v>USD</v>
          </cell>
          <cell r="G347">
            <v>0</v>
          </cell>
          <cell r="H347">
            <v>57444</v>
          </cell>
          <cell r="I347">
            <v>19</v>
          </cell>
          <cell r="J347" t="str">
            <v>ТАК ПСБ "Ориёнбанк"</v>
          </cell>
          <cell r="K347">
            <v>0</v>
          </cell>
          <cell r="L347">
            <v>57035.013592233016</v>
          </cell>
          <cell r="M347">
            <v>0.9928802588996765</v>
          </cell>
          <cell r="N347">
            <v>0</v>
          </cell>
        </row>
        <row r="348">
          <cell r="A348">
            <v>2003</v>
          </cell>
          <cell r="B348">
            <v>2</v>
          </cell>
          <cell r="C348">
            <v>1</v>
          </cell>
          <cell r="D348">
            <v>0</v>
          </cell>
          <cell r="E348">
            <v>0</v>
          </cell>
          <cell r="F348" t="str">
            <v>USD</v>
          </cell>
          <cell r="G348">
            <v>0</v>
          </cell>
          <cell r="H348">
            <v>150503</v>
          </cell>
          <cell r="I348">
            <v>2</v>
          </cell>
          <cell r="J348" t="str">
            <v>ТАК ПСБ "Ориёнбанк"</v>
          </cell>
          <cell r="K348">
            <v>0</v>
          </cell>
          <cell r="L348">
            <v>149431.457605178</v>
          </cell>
          <cell r="M348">
            <v>0.9928802588996765</v>
          </cell>
          <cell r="N348">
            <v>0</v>
          </cell>
        </row>
        <row r="349">
          <cell r="A349">
            <v>2003</v>
          </cell>
          <cell r="B349">
            <v>2</v>
          </cell>
          <cell r="C349">
            <v>2</v>
          </cell>
          <cell r="D349">
            <v>365</v>
          </cell>
          <cell r="E349">
            <v>2</v>
          </cell>
          <cell r="F349" t="str">
            <v>USD</v>
          </cell>
          <cell r="G349">
            <v>20</v>
          </cell>
          <cell r="H349">
            <v>153400</v>
          </cell>
          <cell r="I349">
            <v>1</v>
          </cell>
          <cell r="J349" t="str">
            <v>ТАК ПСБ "Ориёнбанк"</v>
          </cell>
          <cell r="K349">
            <v>3068000</v>
          </cell>
          <cell r="L349">
            <v>152307.83171521037</v>
          </cell>
          <cell r="M349">
            <v>0.9928802588996765</v>
          </cell>
          <cell r="N349">
            <v>3046156.6343042073</v>
          </cell>
        </row>
        <row r="350">
          <cell r="A350">
            <v>2003</v>
          </cell>
          <cell r="B350">
            <v>2</v>
          </cell>
          <cell r="C350">
            <v>1</v>
          </cell>
          <cell r="D350">
            <v>0</v>
          </cell>
          <cell r="E350">
            <v>1</v>
          </cell>
          <cell r="F350" t="str">
            <v>USD</v>
          </cell>
          <cell r="G350">
            <v>0</v>
          </cell>
          <cell r="H350">
            <v>18928541</v>
          </cell>
          <cell r="I350">
            <v>339</v>
          </cell>
          <cell r="J350" t="str">
            <v>ТАК ПСБ "Ориёнбанк"</v>
          </cell>
          <cell r="K350">
            <v>0</v>
          </cell>
          <cell r="L350">
            <v>18793774.688673142</v>
          </cell>
          <cell r="M350">
            <v>0.9928802588996765</v>
          </cell>
          <cell r="N350">
            <v>0</v>
          </cell>
        </row>
        <row r="351">
          <cell r="A351">
            <v>2003</v>
          </cell>
          <cell r="B351">
            <v>3</v>
          </cell>
          <cell r="C351">
            <v>1</v>
          </cell>
          <cell r="D351">
            <v>0</v>
          </cell>
          <cell r="E351">
            <v>1</v>
          </cell>
          <cell r="F351" t="str">
            <v>USD</v>
          </cell>
          <cell r="G351">
            <v>0</v>
          </cell>
          <cell r="H351">
            <v>1583954</v>
          </cell>
          <cell r="I351">
            <v>12</v>
          </cell>
          <cell r="J351" t="str">
            <v>"Тиджорат" ИРИ</v>
          </cell>
          <cell r="K351">
            <v>0</v>
          </cell>
          <cell r="L351">
            <v>1579340.5417475728</v>
          </cell>
          <cell r="M351">
            <v>0.9970873786407767</v>
          </cell>
          <cell r="N351">
            <v>0</v>
          </cell>
        </row>
        <row r="352">
          <cell r="A352">
            <v>2003</v>
          </cell>
          <cell r="B352">
            <v>3</v>
          </cell>
          <cell r="C352">
            <v>1</v>
          </cell>
          <cell r="D352">
            <v>0</v>
          </cell>
          <cell r="E352">
            <v>2</v>
          </cell>
          <cell r="F352" t="str">
            <v>USD</v>
          </cell>
          <cell r="G352">
            <v>0</v>
          </cell>
          <cell r="H352">
            <v>1489846.82</v>
          </cell>
          <cell r="I352">
            <v>24</v>
          </cell>
          <cell r="J352" t="str">
            <v>"Тиджорат" ИРИ</v>
          </cell>
          <cell r="K352">
            <v>0</v>
          </cell>
          <cell r="L352">
            <v>1485507.460330097</v>
          </cell>
          <cell r="M352">
            <v>0.9970873786407767</v>
          </cell>
          <cell r="N352">
            <v>0</v>
          </cell>
        </row>
        <row r="353">
          <cell r="A353">
            <v>2003</v>
          </cell>
          <cell r="B353">
            <v>3</v>
          </cell>
          <cell r="C353">
            <v>1</v>
          </cell>
          <cell r="D353">
            <v>0</v>
          </cell>
          <cell r="E353">
            <v>1</v>
          </cell>
          <cell r="F353" t="str">
            <v>TJS</v>
          </cell>
          <cell r="G353">
            <v>0</v>
          </cell>
          <cell r="H353">
            <v>224762</v>
          </cell>
          <cell r="I353">
            <v>4</v>
          </cell>
          <cell r="J353" t="str">
            <v>"Тиджорат" ИРИ</v>
          </cell>
          <cell r="K353">
            <v>0</v>
          </cell>
          <cell r="L353">
            <v>224762</v>
          </cell>
          <cell r="M353">
            <v>1</v>
          </cell>
          <cell r="N353">
            <v>0</v>
          </cell>
        </row>
        <row r="354">
          <cell r="A354">
            <v>2003</v>
          </cell>
          <cell r="B354">
            <v>3</v>
          </cell>
          <cell r="C354">
            <v>1</v>
          </cell>
          <cell r="D354">
            <v>0</v>
          </cell>
          <cell r="E354">
            <v>2</v>
          </cell>
          <cell r="F354" t="str">
            <v>USD</v>
          </cell>
          <cell r="G354">
            <v>0</v>
          </cell>
          <cell r="H354">
            <v>14574.45</v>
          </cell>
          <cell r="I354">
            <v>2</v>
          </cell>
          <cell r="J354" t="str">
            <v>"Тиджорат" ИРИ</v>
          </cell>
          <cell r="K354">
            <v>0</v>
          </cell>
          <cell r="L354">
            <v>14532.00014563107</v>
          </cell>
          <cell r="M354">
            <v>0.9970873786407767</v>
          </cell>
          <cell r="N354">
            <v>0</v>
          </cell>
        </row>
        <row r="355">
          <cell r="A355">
            <v>2003</v>
          </cell>
          <cell r="B355">
            <v>3</v>
          </cell>
          <cell r="C355">
            <v>1</v>
          </cell>
          <cell r="D355">
            <v>0</v>
          </cell>
          <cell r="E355">
            <v>1</v>
          </cell>
          <cell r="F355" t="str">
            <v>TJS</v>
          </cell>
          <cell r="G355">
            <v>0</v>
          </cell>
          <cell r="H355">
            <v>67169742</v>
          </cell>
          <cell r="I355">
            <v>1419</v>
          </cell>
          <cell r="J355" t="str">
            <v>АК АПИБ "Агроинвестбанк"</v>
          </cell>
          <cell r="K355">
            <v>0</v>
          </cell>
          <cell r="L355">
            <v>67169742</v>
          </cell>
          <cell r="M355">
            <v>1</v>
          </cell>
          <cell r="N355">
            <v>0</v>
          </cell>
        </row>
        <row r="356">
          <cell r="A356">
            <v>2003</v>
          </cell>
          <cell r="B356">
            <v>3</v>
          </cell>
          <cell r="C356">
            <v>1</v>
          </cell>
          <cell r="D356">
            <v>0</v>
          </cell>
          <cell r="E356">
            <v>2</v>
          </cell>
          <cell r="F356" t="str">
            <v>TJS</v>
          </cell>
          <cell r="G356">
            <v>0</v>
          </cell>
          <cell r="H356">
            <v>169942</v>
          </cell>
          <cell r="I356">
            <v>37</v>
          </cell>
          <cell r="J356" t="str">
            <v>АК АПИБ "Агроинвестбанк"</v>
          </cell>
          <cell r="K356">
            <v>0</v>
          </cell>
          <cell r="L356">
            <v>169942</v>
          </cell>
          <cell r="M356">
            <v>1</v>
          </cell>
          <cell r="N356">
            <v>0</v>
          </cell>
        </row>
        <row r="357">
          <cell r="A357">
            <v>2003</v>
          </cell>
          <cell r="B357">
            <v>3</v>
          </cell>
          <cell r="C357">
            <v>3</v>
          </cell>
          <cell r="D357">
            <v>0</v>
          </cell>
          <cell r="E357">
            <v>2</v>
          </cell>
          <cell r="F357" t="str">
            <v>TJS</v>
          </cell>
          <cell r="G357">
            <v>12</v>
          </cell>
          <cell r="H357">
            <v>19471</v>
          </cell>
          <cell r="I357">
            <v>33</v>
          </cell>
          <cell r="J357" t="str">
            <v>АК АПИБ "Агроинвестбанк"</v>
          </cell>
          <cell r="K357">
            <v>233652</v>
          </cell>
          <cell r="L357">
            <v>19471</v>
          </cell>
          <cell r="M357">
            <v>1</v>
          </cell>
          <cell r="N357">
            <v>233652</v>
          </cell>
        </row>
        <row r="358">
          <cell r="A358">
            <v>2003</v>
          </cell>
          <cell r="B358">
            <v>3</v>
          </cell>
          <cell r="C358">
            <v>3</v>
          </cell>
          <cell r="D358">
            <v>0</v>
          </cell>
          <cell r="E358">
            <v>2</v>
          </cell>
          <cell r="F358" t="str">
            <v>TJS</v>
          </cell>
          <cell r="G358">
            <v>15</v>
          </cell>
          <cell r="H358">
            <v>79192</v>
          </cell>
          <cell r="I358">
            <v>71</v>
          </cell>
          <cell r="J358" t="str">
            <v>АК АПИБ "Агроинвестбанк"</v>
          </cell>
          <cell r="K358">
            <v>1187880</v>
          </cell>
          <cell r="L358">
            <v>79192</v>
          </cell>
          <cell r="M358">
            <v>1</v>
          </cell>
          <cell r="N358">
            <v>1187880</v>
          </cell>
        </row>
        <row r="359">
          <cell r="A359">
            <v>2003</v>
          </cell>
          <cell r="B359">
            <v>3</v>
          </cell>
          <cell r="C359">
            <v>2</v>
          </cell>
          <cell r="D359">
            <v>90</v>
          </cell>
          <cell r="E359">
            <v>1</v>
          </cell>
          <cell r="F359" t="str">
            <v>TJS</v>
          </cell>
          <cell r="G359">
            <v>13.5</v>
          </cell>
          <cell r="H359">
            <v>5000</v>
          </cell>
          <cell r="I359">
            <v>7</v>
          </cell>
          <cell r="J359" t="str">
            <v>АК АПИБ "Агроинвестбанк"</v>
          </cell>
          <cell r="K359">
            <v>67500</v>
          </cell>
          <cell r="L359">
            <v>5000</v>
          </cell>
          <cell r="M359">
            <v>1</v>
          </cell>
          <cell r="N359">
            <v>67500</v>
          </cell>
        </row>
        <row r="360">
          <cell r="A360">
            <v>2003</v>
          </cell>
          <cell r="B360">
            <v>3</v>
          </cell>
          <cell r="C360">
            <v>2</v>
          </cell>
          <cell r="D360">
            <v>360</v>
          </cell>
          <cell r="E360">
            <v>1</v>
          </cell>
          <cell r="F360" t="str">
            <v>TJS</v>
          </cell>
          <cell r="G360">
            <v>15</v>
          </cell>
          <cell r="H360">
            <v>464700</v>
          </cell>
          <cell r="I360">
            <v>53</v>
          </cell>
          <cell r="J360" t="str">
            <v>АК АПИБ "Агроинвестбанк"</v>
          </cell>
          <cell r="K360">
            <v>6970500</v>
          </cell>
          <cell r="L360">
            <v>464700</v>
          </cell>
          <cell r="M360">
            <v>1</v>
          </cell>
          <cell r="N360">
            <v>6970500</v>
          </cell>
        </row>
        <row r="361">
          <cell r="A361">
            <v>2003</v>
          </cell>
          <cell r="B361">
            <v>3</v>
          </cell>
          <cell r="C361">
            <v>2</v>
          </cell>
          <cell r="D361">
            <v>366</v>
          </cell>
          <cell r="E361">
            <v>1</v>
          </cell>
          <cell r="F361" t="str">
            <v>TJS</v>
          </cell>
          <cell r="G361">
            <v>15</v>
          </cell>
          <cell r="H361">
            <v>350000</v>
          </cell>
          <cell r="I361">
            <v>40</v>
          </cell>
          <cell r="J361" t="str">
            <v>АК АПИБ "Агроинвестбанк"</v>
          </cell>
          <cell r="K361">
            <v>5250000</v>
          </cell>
          <cell r="L361">
            <v>350000</v>
          </cell>
          <cell r="M361">
            <v>1</v>
          </cell>
          <cell r="N361">
            <v>5250000</v>
          </cell>
        </row>
        <row r="362">
          <cell r="A362">
            <v>2003</v>
          </cell>
          <cell r="B362">
            <v>3</v>
          </cell>
          <cell r="C362">
            <v>2</v>
          </cell>
          <cell r="D362">
            <v>90</v>
          </cell>
          <cell r="E362">
            <v>2</v>
          </cell>
          <cell r="F362" t="str">
            <v>TJS</v>
          </cell>
          <cell r="G362">
            <v>14</v>
          </cell>
          <cell r="H362">
            <v>500</v>
          </cell>
          <cell r="I362">
            <v>3</v>
          </cell>
          <cell r="J362" t="str">
            <v>АК АПИБ "Агроинвестбанк"</v>
          </cell>
          <cell r="K362">
            <v>7000</v>
          </cell>
          <cell r="L362">
            <v>500</v>
          </cell>
          <cell r="M362">
            <v>1</v>
          </cell>
          <cell r="N362">
            <v>7000</v>
          </cell>
        </row>
        <row r="363">
          <cell r="A363">
            <v>2003</v>
          </cell>
          <cell r="B363">
            <v>3</v>
          </cell>
          <cell r="C363">
            <v>2</v>
          </cell>
          <cell r="D363">
            <v>180</v>
          </cell>
          <cell r="E363">
            <v>2</v>
          </cell>
          <cell r="F363" t="str">
            <v>TJS</v>
          </cell>
          <cell r="G363">
            <v>15</v>
          </cell>
          <cell r="H363">
            <v>900</v>
          </cell>
          <cell r="I363">
            <v>4</v>
          </cell>
          <cell r="J363" t="str">
            <v>АК АПИБ "Агроинвестбанк"</v>
          </cell>
          <cell r="K363">
            <v>13500</v>
          </cell>
          <cell r="L363">
            <v>900</v>
          </cell>
          <cell r="M363">
            <v>1</v>
          </cell>
          <cell r="N363">
            <v>13500</v>
          </cell>
        </row>
        <row r="364">
          <cell r="A364">
            <v>2003</v>
          </cell>
          <cell r="B364">
            <v>3</v>
          </cell>
          <cell r="C364">
            <v>2</v>
          </cell>
          <cell r="D364">
            <v>360</v>
          </cell>
          <cell r="E364">
            <v>2</v>
          </cell>
          <cell r="F364" t="str">
            <v>TJS</v>
          </cell>
          <cell r="G364">
            <v>18</v>
          </cell>
          <cell r="H364">
            <v>17150</v>
          </cell>
          <cell r="I364">
            <v>20</v>
          </cell>
          <cell r="J364" t="str">
            <v>АК АПИБ "Агроинвестбанк"</v>
          </cell>
          <cell r="K364">
            <v>308700</v>
          </cell>
          <cell r="L364">
            <v>17150</v>
          </cell>
          <cell r="M364">
            <v>1</v>
          </cell>
          <cell r="N364">
            <v>308700</v>
          </cell>
        </row>
        <row r="365">
          <cell r="A365">
            <v>2003</v>
          </cell>
          <cell r="B365">
            <v>3</v>
          </cell>
          <cell r="C365">
            <v>2</v>
          </cell>
          <cell r="D365">
            <v>366</v>
          </cell>
          <cell r="E365">
            <v>2</v>
          </cell>
          <cell r="F365" t="str">
            <v>TJS</v>
          </cell>
          <cell r="G365">
            <v>18</v>
          </cell>
          <cell r="H365">
            <v>1630</v>
          </cell>
          <cell r="I365">
            <v>4</v>
          </cell>
          <cell r="J365" t="str">
            <v>АК АПИБ "Агроинвестбанк"</v>
          </cell>
          <cell r="K365">
            <v>29340</v>
          </cell>
          <cell r="L365">
            <v>1630</v>
          </cell>
          <cell r="M365">
            <v>1</v>
          </cell>
          <cell r="N365">
            <v>29340</v>
          </cell>
        </row>
        <row r="366">
          <cell r="A366">
            <v>2003</v>
          </cell>
          <cell r="B366">
            <v>3</v>
          </cell>
          <cell r="C366">
            <v>1</v>
          </cell>
          <cell r="D366">
            <v>0</v>
          </cell>
          <cell r="E366">
            <v>1</v>
          </cell>
          <cell r="F366" t="str">
            <v>RUR</v>
          </cell>
          <cell r="G366">
            <v>0</v>
          </cell>
          <cell r="H366">
            <v>2005777</v>
          </cell>
          <cell r="I366">
            <v>28</v>
          </cell>
          <cell r="J366" t="str">
            <v>АК АПИБ "Агроинвестбанк"</v>
          </cell>
          <cell r="K366">
            <v>0</v>
          </cell>
          <cell r="L366">
            <v>1936163.4633762662</v>
          </cell>
          <cell r="M366">
            <v>0.9652934814669158</v>
          </cell>
          <cell r="N366">
            <v>0</v>
          </cell>
        </row>
        <row r="367">
          <cell r="A367">
            <v>2003</v>
          </cell>
          <cell r="B367">
            <v>3</v>
          </cell>
          <cell r="C367">
            <v>3</v>
          </cell>
          <cell r="D367">
            <v>0</v>
          </cell>
          <cell r="E367">
            <v>2</v>
          </cell>
          <cell r="F367" t="str">
            <v>RUR</v>
          </cell>
          <cell r="G367">
            <v>6</v>
          </cell>
          <cell r="H367">
            <v>53567</v>
          </cell>
          <cell r="I367">
            <v>39</v>
          </cell>
          <cell r="J367" t="str">
            <v>АК АПИБ "Агроинвестбанк"</v>
          </cell>
          <cell r="K367">
            <v>321402</v>
          </cell>
          <cell r="L367">
            <v>51707.87592173828</v>
          </cell>
          <cell r="M367">
            <v>0.9652934814669158</v>
          </cell>
          <cell r="N367">
            <v>310247.2555304297</v>
          </cell>
        </row>
        <row r="368">
          <cell r="A368">
            <v>2003</v>
          </cell>
          <cell r="B368">
            <v>3</v>
          </cell>
          <cell r="C368">
            <v>1</v>
          </cell>
          <cell r="D368">
            <v>0</v>
          </cell>
          <cell r="E368">
            <v>1</v>
          </cell>
          <cell r="F368" t="str">
            <v>USD</v>
          </cell>
          <cell r="G368">
            <v>0</v>
          </cell>
          <cell r="H368">
            <v>31435674</v>
          </cell>
          <cell r="I368">
            <v>202</v>
          </cell>
          <cell r="J368" t="str">
            <v>АК АПИБ "Агроинвестбанк"</v>
          </cell>
          <cell r="K368">
            <v>0</v>
          </cell>
          <cell r="L368">
            <v>31344113.784466017</v>
          </cell>
          <cell r="M368">
            <v>0.9970873786407767</v>
          </cell>
          <cell r="N368">
            <v>0</v>
          </cell>
        </row>
        <row r="369">
          <cell r="A369">
            <v>2003</v>
          </cell>
          <cell r="B369">
            <v>3</v>
          </cell>
          <cell r="C369">
            <v>1</v>
          </cell>
          <cell r="D369">
            <v>0</v>
          </cell>
          <cell r="E369">
            <v>2</v>
          </cell>
          <cell r="F369" t="str">
            <v>USD</v>
          </cell>
          <cell r="G369">
            <v>0</v>
          </cell>
          <cell r="H369">
            <v>291205</v>
          </cell>
          <cell r="I369">
            <v>93</v>
          </cell>
          <cell r="J369" t="str">
            <v>АК АПИБ "Агроинвестбанк"</v>
          </cell>
          <cell r="K369">
            <v>0</v>
          </cell>
          <cell r="L369">
            <v>290356.83009708737</v>
          </cell>
          <cell r="M369">
            <v>0.9970873786407767</v>
          </cell>
          <cell r="N369">
            <v>0</v>
          </cell>
        </row>
        <row r="370">
          <cell r="A370">
            <v>2003</v>
          </cell>
          <cell r="B370">
            <v>3</v>
          </cell>
          <cell r="C370">
            <v>3</v>
          </cell>
          <cell r="D370">
            <v>0</v>
          </cell>
          <cell r="E370">
            <v>1</v>
          </cell>
          <cell r="F370" t="str">
            <v>USD</v>
          </cell>
          <cell r="G370">
            <v>6.5</v>
          </cell>
          <cell r="H370">
            <v>13</v>
          </cell>
          <cell r="I370">
            <v>1</v>
          </cell>
          <cell r="J370" t="str">
            <v>АК АПИБ "Агроинвестбанк"</v>
          </cell>
          <cell r="K370">
            <v>84.5</v>
          </cell>
          <cell r="L370">
            <v>12.962135922330097</v>
          </cell>
          <cell r="M370">
            <v>0.9970873786407767</v>
          </cell>
          <cell r="N370">
            <v>84.25388349514563</v>
          </cell>
        </row>
        <row r="371">
          <cell r="A371">
            <v>2003</v>
          </cell>
          <cell r="B371">
            <v>3</v>
          </cell>
          <cell r="C371">
            <v>3</v>
          </cell>
          <cell r="D371">
            <v>0</v>
          </cell>
          <cell r="E371">
            <v>2</v>
          </cell>
          <cell r="F371" t="str">
            <v>USD</v>
          </cell>
          <cell r="G371">
            <v>6.5</v>
          </cell>
          <cell r="H371">
            <v>1189357</v>
          </cell>
          <cell r="I371">
            <v>623</v>
          </cell>
          <cell r="J371" t="str">
            <v>АК АПИБ "Агроинвестбанк"</v>
          </cell>
          <cell r="K371">
            <v>7730820.5</v>
          </cell>
          <cell r="L371">
            <v>1185892.8533980583</v>
          </cell>
          <cell r="M371">
            <v>0.9970873786407767</v>
          </cell>
          <cell r="N371">
            <v>7708303.547087379</v>
          </cell>
        </row>
        <row r="372">
          <cell r="A372">
            <v>2003</v>
          </cell>
          <cell r="B372">
            <v>3</v>
          </cell>
          <cell r="C372">
            <v>2</v>
          </cell>
          <cell r="D372">
            <v>30</v>
          </cell>
          <cell r="E372">
            <v>1</v>
          </cell>
          <cell r="F372" t="str">
            <v>USD</v>
          </cell>
          <cell r="G372">
            <v>0</v>
          </cell>
          <cell r="H372">
            <v>38</v>
          </cell>
          <cell r="I372">
            <v>1</v>
          </cell>
          <cell r="J372" t="str">
            <v>АК АПИБ "Агроинвестбанк"</v>
          </cell>
          <cell r="K372">
            <v>0</v>
          </cell>
          <cell r="L372">
            <v>37.88932038834951</v>
          </cell>
          <cell r="M372">
            <v>0.9970873786407767</v>
          </cell>
          <cell r="N372">
            <v>0</v>
          </cell>
        </row>
        <row r="373">
          <cell r="A373">
            <v>2003</v>
          </cell>
          <cell r="B373">
            <v>3</v>
          </cell>
          <cell r="C373">
            <v>2</v>
          </cell>
          <cell r="D373">
            <v>365</v>
          </cell>
          <cell r="E373">
            <v>1</v>
          </cell>
          <cell r="F373" t="str">
            <v>USD</v>
          </cell>
          <cell r="G373">
            <v>11</v>
          </cell>
          <cell r="H373">
            <v>520</v>
          </cell>
          <cell r="I373">
            <v>1</v>
          </cell>
          <cell r="J373" t="str">
            <v>АК АПИБ "Агроинвестбанк"</v>
          </cell>
          <cell r="K373">
            <v>5720</v>
          </cell>
          <cell r="L373">
            <v>518.4854368932039</v>
          </cell>
          <cell r="M373">
            <v>0.9970873786407767</v>
          </cell>
          <cell r="N373">
            <v>5703.339805825242</v>
          </cell>
        </row>
        <row r="374">
          <cell r="A374">
            <v>2003</v>
          </cell>
          <cell r="B374">
            <v>3</v>
          </cell>
          <cell r="C374">
            <v>2</v>
          </cell>
          <cell r="D374">
            <v>366</v>
          </cell>
          <cell r="E374">
            <v>1</v>
          </cell>
          <cell r="F374" t="str">
            <v>USD</v>
          </cell>
          <cell r="G374">
            <v>12</v>
          </cell>
          <cell r="H374">
            <v>152</v>
          </cell>
          <cell r="I374">
            <v>1</v>
          </cell>
          <cell r="J374" t="str">
            <v>АК АПИБ "Агроинвестбанк"</v>
          </cell>
          <cell r="K374">
            <v>1824</v>
          </cell>
          <cell r="L374">
            <v>151.55728155339804</v>
          </cell>
          <cell r="M374">
            <v>0.9970873786407767</v>
          </cell>
          <cell r="N374">
            <v>1818.6873786407766</v>
          </cell>
        </row>
        <row r="375">
          <cell r="A375">
            <v>2003</v>
          </cell>
          <cell r="B375">
            <v>3</v>
          </cell>
          <cell r="C375">
            <v>2</v>
          </cell>
          <cell r="D375">
            <v>90</v>
          </cell>
          <cell r="E375">
            <v>2</v>
          </cell>
          <cell r="F375" t="str">
            <v>USD</v>
          </cell>
          <cell r="G375">
            <v>8</v>
          </cell>
          <cell r="H375">
            <v>58141</v>
          </cell>
          <cell r="I375">
            <v>66</v>
          </cell>
          <cell r="J375" t="str">
            <v>АК АПИБ "Агроинвестбанк"</v>
          </cell>
          <cell r="K375">
            <v>465128</v>
          </cell>
          <cell r="L375">
            <v>57971.657281553395</v>
          </cell>
          <cell r="M375">
            <v>0.9970873786407767</v>
          </cell>
          <cell r="N375">
            <v>463773.25825242716</v>
          </cell>
        </row>
        <row r="376">
          <cell r="A376">
            <v>2003</v>
          </cell>
          <cell r="B376">
            <v>3</v>
          </cell>
          <cell r="C376">
            <v>2</v>
          </cell>
          <cell r="D376">
            <v>180</v>
          </cell>
          <cell r="E376">
            <v>2</v>
          </cell>
          <cell r="F376" t="str">
            <v>USD</v>
          </cell>
          <cell r="G376">
            <v>10</v>
          </cell>
          <cell r="H376">
            <v>40797</v>
          </cell>
          <cell r="I376">
            <v>87</v>
          </cell>
          <cell r="J376" t="str">
            <v>АК АПИБ "Агроинвестбанк"</v>
          </cell>
          <cell r="K376">
            <v>407970</v>
          </cell>
          <cell r="L376">
            <v>40678.173786407766</v>
          </cell>
          <cell r="M376">
            <v>0.9970873786407767</v>
          </cell>
          <cell r="N376">
            <v>406781.7378640777</v>
          </cell>
        </row>
        <row r="377">
          <cell r="A377">
            <v>2003</v>
          </cell>
          <cell r="B377">
            <v>3</v>
          </cell>
          <cell r="C377">
            <v>2</v>
          </cell>
          <cell r="D377">
            <v>360</v>
          </cell>
          <cell r="E377">
            <v>2</v>
          </cell>
          <cell r="F377" t="str">
            <v>USD</v>
          </cell>
          <cell r="G377">
            <v>12</v>
          </cell>
          <cell r="H377">
            <v>79434</v>
          </cell>
          <cell r="I377">
            <v>114</v>
          </cell>
          <cell r="J377" t="str">
            <v>АК АПИБ "Агроинвестбанк"</v>
          </cell>
          <cell r="K377">
            <v>953208</v>
          </cell>
          <cell r="L377">
            <v>79202.63883495146</v>
          </cell>
          <cell r="M377">
            <v>0.9970873786407767</v>
          </cell>
          <cell r="N377">
            <v>950431.6660194175</v>
          </cell>
        </row>
        <row r="378">
          <cell r="A378">
            <v>2003</v>
          </cell>
          <cell r="B378">
            <v>3</v>
          </cell>
          <cell r="C378">
            <v>2</v>
          </cell>
          <cell r="D378">
            <v>366</v>
          </cell>
          <cell r="E378">
            <v>2</v>
          </cell>
          <cell r="F378" t="str">
            <v>USD</v>
          </cell>
          <cell r="G378">
            <v>13</v>
          </cell>
          <cell r="H378">
            <v>45782</v>
          </cell>
          <cell r="I378">
            <v>94</v>
          </cell>
          <cell r="J378" t="str">
            <v>АК АПИБ "Агроинвестбанк"</v>
          </cell>
          <cell r="K378">
            <v>595166</v>
          </cell>
          <cell r="L378">
            <v>45648.65436893204</v>
          </cell>
          <cell r="M378">
            <v>0.9970873786407767</v>
          </cell>
          <cell r="N378">
            <v>593432.5067961165</v>
          </cell>
        </row>
        <row r="379">
          <cell r="A379">
            <v>2003</v>
          </cell>
          <cell r="B379">
            <v>3</v>
          </cell>
          <cell r="C379">
            <v>1</v>
          </cell>
          <cell r="D379">
            <v>0</v>
          </cell>
          <cell r="E379">
            <v>1</v>
          </cell>
          <cell r="F379" t="str">
            <v>TJS</v>
          </cell>
          <cell r="G379">
            <v>0</v>
          </cell>
          <cell r="H379">
            <v>3276576</v>
          </cell>
          <cell r="I379">
            <v>67</v>
          </cell>
          <cell r="J379" t="str">
            <v>АКБ  СП "Сохибкорбанк"</v>
          </cell>
          <cell r="K379">
            <v>0</v>
          </cell>
          <cell r="L379">
            <v>3276576</v>
          </cell>
          <cell r="M379">
            <v>1</v>
          </cell>
          <cell r="N379">
            <v>0</v>
          </cell>
        </row>
        <row r="380">
          <cell r="A380">
            <v>2003</v>
          </cell>
          <cell r="B380">
            <v>3</v>
          </cell>
          <cell r="C380">
            <v>3</v>
          </cell>
          <cell r="D380">
            <v>90</v>
          </cell>
          <cell r="E380">
            <v>2</v>
          </cell>
          <cell r="F380" t="str">
            <v>TJS</v>
          </cell>
          <cell r="G380">
            <v>24</v>
          </cell>
          <cell r="H380">
            <v>2301</v>
          </cell>
          <cell r="I380">
            <v>2</v>
          </cell>
          <cell r="J380" t="str">
            <v>АКБ  СП "Сохибкорбанк"</v>
          </cell>
          <cell r="K380">
            <v>55224</v>
          </cell>
          <cell r="L380">
            <v>2301</v>
          </cell>
          <cell r="M380">
            <v>1</v>
          </cell>
          <cell r="N380">
            <v>55224</v>
          </cell>
        </row>
        <row r="381">
          <cell r="A381">
            <v>2003</v>
          </cell>
          <cell r="B381">
            <v>3</v>
          </cell>
          <cell r="C381">
            <v>2</v>
          </cell>
          <cell r="D381">
            <v>360</v>
          </cell>
          <cell r="E381">
            <v>2</v>
          </cell>
          <cell r="F381" t="str">
            <v>TJS</v>
          </cell>
          <cell r="G381">
            <v>30</v>
          </cell>
          <cell r="H381">
            <v>3684</v>
          </cell>
          <cell r="I381">
            <v>1</v>
          </cell>
          <cell r="J381" t="str">
            <v>АКБ  СП "Сохибкорбанк"</v>
          </cell>
          <cell r="K381">
            <v>110520</v>
          </cell>
          <cell r="L381">
            <v>3684</v>
          </cell>
          <cell r="M381">
            <v>1</v>
          </cell>
          <cell r="N381">
            <v>110520</v>
          </cell>
        </row>
        <row r="382">
          <cell r="A382">
            <v>2003</v>
          </cell>
          <cell r="B382">
            <v>3</v>
          </cell>
          <cell r="C382">
            <v>2</v>
          </cell>
          <cell r="D382">
            <v>360</v>
          </cell>
          <cell r="E382">
            <v>2</v>
          </cell>
          <cell r="F382" t="str">
            <v>TJS</v>
          </cell>
          <cell r="G382">
            <v>24</v>
          </cell>
          <cell r="H382">
            <v>3991</v>
          </cell>
          <cell r="I382">
            <v>1</v>
          </cell>
          <cell r="J382" t="str">
            <v>АКБ  СП "Сохибкорбанк"</v>
          </cell>
          <cell r="K382">
            <v>95784</v>
          </cell>
          <cell r="L382">
            <v>3991</v>
          </cell>
          <cell r="M382">
            <v>1</v>
          </cell>
          <cell r="N382">
            <v>95784</v>
          </cell>
        </row>
        <row r="383">
          <cell r="A383">
            <v>2003</v>
          </cell>
          <cell r="B383">
            <v>3</v>
          </cell>
          <cell r="C383">
            <v>2</v>
          </cell>
          <cell r="D383">
            <v>90</v>
          </cell>
          <cell r="E383">
            <v>2</v>
          </cell>
          <cell r="F383" t="str">
            <v>TJS</v>
          </cell>
          <cell r="G383">
            <v>60</v>
          </cell>
          <cell r="H383">
            <v>3300</v>
          </cell>
          <cell r="I383">
            <v>1</v>
          </cell>
          <cell r="J383" t="str">
            <v>АКБ  СП "Сохибкорбанк"</v>
          </cell>
          <cell r="K383">
            <v>198000</v>
          </cell>
          <cell r="L383">
            <v>3300</v>
          </cell>
          <cell r="M383">
            <v>1</v>
          </cell>
          <cell r="N383">
            <v>198000</v>
          </cell>
        </row>
        <row r="384">
          <cell r="A384">
            <v>2003</v>
          </cell>
          <cell r="B384">
            <v>3</v>
          </cell>
          <cell r="C384">
            <v>1</v>
          </cell>
          <cell r="D384">
            <v>0</v>
          </cell>
          <cell r="E384">
            <v>1</v>
          </cell>
          <cell r="F384" t="str">
            <v>USD</v>
          </cell>
          <cell r="G384">
            <v>0</v>
          </cell>
          <cell r="H384">
            <v>1699842</v>
          </cell>
          <cell r="I384">
            <v>15</v>
          </cell>
          <cell r="J384" t="str">
            <v>АКБ  СП "Сохибкорбанк"</v>
          </cell>
          <cell r="K384">
            <v>0</v>
          </cell>
          <cell r="L384">
            <v>1694891.003883495</v>
          </cell>
          <cell r="M384">
            <v>0.9970873786407767</v>
          </cell>
          <cell r="N384">
            <v>0</v>
          </cell>
        </row>
        <row r="385">
          <cell r="A385">
            <v>2003</v>
          </cell>
          <cell r="B385">
            <v>3</v>
          </cell>
          <cell r="C385">
            <v>1</v>
          </cell>
          <cell r="D385">
            <v>0</v>
          </cell>
          <cell r="E385">
            <v>1</v>
          </cell>
          <cell r="F385" t="str">
            <v>RUR</v>
          </cell>
          <cell r="G385">
            <v>0</v>
          </cell>
          <cell r="H385">
            <v>163427</v>
          </cell>
          <cell r="I385">
            <v>6</v>
          </cell>
          <cell r="J385" t="str">
            <v>АКБ  СП "Сохибкорбанк"</v>
          </cell>
          <cell r="K385">
            <v>0</v>
          </cell>
          <cell r="L385">
            <v>157755.01779569365</v>
          </cell>
          <cell r="M385">
            <v>0.9652934814669158</v>
          </cell>
          <cell r="N385">
            <v>0</v>
          </cell>
        </row>
        <row r="386">
          <cell r="A386">
            <v>2003</v>
          </cell>
          <cell r="B386">
            <v>3</v>
          </cell>
          <cell r="C386">
            <v>2</v>
          </cell>
          <cell r="D386">
            <v>330</v>
          </cell>
          <cell r="E386">
            <v>2</v>
          </cell>
          <cell r="F386" t="str">
            <v>USD</v>
          </cell>
          <cell r="G386">
            <v>22</v>
          </cell>
          <cell r="H386">
            <v>22760</v>
          </cell>
          <cell r="I386">
            <v>1</v>
          </cell>
          <cell r="J386" t="str">
            <v>АКБ  СП "Сохибкорбанк"</v>
          </cell>
          <cell r="K386">
            <v>500720</v>
          </cell>
          <cell r="L386">
            <v>22693.70873786408</v>
          </cell>
          <cell r="M386">
            <v>0.9970873786407767</v>
          </cell>
          <cell r="N386">
            <v>499261.5922330097</v>
          </cell>
        </row>
        <row r="387">
          <cell r="A387">
            <v>2003</v>
          </cell>
          <cell r="B387">
            <v>3</v>
          </cell>
          <cell r="C387">
            <v>2</v>
          </cell>
          <cell r="D387">
            <v>330</v>
          </cell>
          <cell r="E387">
            <v>2</v>
          </cell>
          <cell r="F387" t="str">
            <v>USD</v>
          </cell>
          <cell r="G387">
            <v>18</v>
          </cell>
          <cell r="H387">
            <v>729</v>
          </cell>
          <cell r="I387">
            <v>1</v>
          </cell>
          <cell r="J387" t="str">
            <v>АКБ  СП "Сохибкорбанк"</v>
          </cell>
          <cell r="K387">
            <v>13122</v>
          </cell>
          <cell r="L387">
            <v>726.8766990291261</v>
          </cell>
          <cell r="M387">
            <v>0.9970873786407767</v>
          </cell>
          <cell r="N387">
            <v>13083.780582524272</v>
          </cell>
        </row>
        <row r="388">
          <cell r="A388">
            <v>2003</v>
          </cell>
          <cell r="B388">
            <v>3</v>
          </cell>
          <cell r="C388">
            <v>1</v>
          </cell>
          <cell r="D388">
            <v>0</v>
          </cell>
          <cell r="E388">
            <v>1</v>
          </cell>
          <cell r="F388" t="str">
            <v>TJS</v>
          </cell>
          <cell r="G388">
            <v>0</v>
          </cell>
          <cell r="H388">
            <v>180722</v>
          </cell>
          <cell r="I388">
            <v>21</v>
          </cell>
          <cell r="J388" t="str">
            <v>АКБ "Ганчина"</v>
          </cell>
          <cell r="K388">
            <v>0</v>
          </cell>
          <cell r="L388">
            <v>180722</v>
          </cell>
          <cell r="M388">
            <v>1</v>
          </cell>
          <cell r="N388">
            <v>0</v>
          </cell>
        </row>
        <row r="389">
          <cell r="A389">
            <v>2003</v>
          </cell>
          <cell r="B389">
            <v>3</v>
          </cell>
          <cell r="C389">
            <v>1</v>
          </cell>
          <cell r="D389">
            <v>0</v>
          </cell>
          <cell r="E389">
            <v>2</v>
          </cell>
          <cell r="F389" t="str">
            <v>TJS</v>
          </cell>
          <cell r="G389">
            <v>0</v>
          </cell>
          <cell r="H389">
            <v>586</v>
          </cell>
          <cell r="I389">
            <v>2</v>
          </cell>
          <cell r="J389" t="str">
            <v>АКБ "Ганчина"</v>
          </cell>
          <cell r="K389">
            <v>0</v>
          </cell>
          <cell r="L389">
            <v>586</v>
          </cell>
          <cell r="M389">
            <v>1</v>
          </cell>
          <cell r="N389">
            <v>0</v>
          </cell>
        </row>
        <row r="390">
          <cell r="A390">
            <v>2003</v>
          </cell>
          <cell r="B390">
            <v>3</v>
          </cell>
          <cell r="C390">
            <v>2</v>
          </cell>
          <cell r="D390">
            <v>180</v>
          </cell>
          <cell r="E390">
            <v>2</v>
          </cell>
          <cell r="F390" t="str">
            <v>TJS</v>
          </cell>
          <cell r="G390">
            <v>24</v>
          </cell>
          <cell r="H390">
            <v>450</v>
          </cell>
          <cell r="I390">
            <v>1</v>
          </cell>
          <cell r="J390" t="str">
            <v>АКБ "Эсхата"</v>
          </cell>
          <cell r="K390">
            <v>10800</v>
          </cell>
          <cell r="L390">
            <v>450</v>
          </cell>
          <cell r="M390">
            <v>1</v>
          </cell>
          <cell r="N390">
            <v>10800</v>
          </cell>
        </row>
        <row r="391">
          <cell r="A391">
            <v>2003</v>
          </cell>
          <cell r="B391">
            <v>3</v>
          </cell>
          <cell r="C391">
            <v>2</v>
          </cell>
          <cell r="D391">
            <v>360</v>
          </cell>
          <cell r="E391">
            <v>2</v>
          </cell>
          <cell r="F391" t="str">
            <v>TJS</v>
          </cell>
          <cell r="G391">
            <v>6</v>
          </cell>
          <cell r="H391">
            <v>6000</v>
          </cell>
          <cell r="I391">
            <v>2</v>
          </cell>
          <cell r="J391" t="str">
            <v>АКБ "Эсхата"</v>
          </cell>
          <cell r="K391">
            <v>36000</v>
          </cell>
          <cell r="L391">
            <v>6000</v>
          </cell>
          <cell r="M391">
            <v>1</v>
          </cell>
          <cell r="N391">
            <v>36000</v>
          </cell>
        </row>
        <row r="392">
          <cell r="A392">
            <v>2003</v>
          </cell>
          <cell r="B392">
            <v>3</v>
          </cell>
          <cell r="C392">
            <v>2</v>
          </cell>
          <cell r="D392">
            <v>360</v>
          </cell>
          <cell r="E392">
            <v>1</v>
          </cell>
          <cell r="F392" t="str">
            <v>TJS</v>
          </cell>
          <cell r="G392">
            <v>12</v>
          </cell>
          <cell r="H392">
            <v>15000</v>
          </cell>
          <cell r="I392">
            <v>1</v>
          </cell>
          <cell r="J392" t="str">
            <v>АКБ "Эсхата"</v>
          </cell>
          <cell r="K392">
            <v>180000</v>
          </cell>
          <cell r="L392">
            <v>15000</v>
          </cell>
          <cell r="M392">
            <v>1</v>
          </cell>
          <cell r="N392">
            <v>180000</v>
          </cell>
        </row>
        <row r="393">
          <cell r="A393">
            <v>2003</v>
          </cell>
          <cell r="B393">
            <v>3</v>
          </cell>
          <cell r="C393">
            <v>2</v>
          </cell>
          <cell r="D393">
            <v>180</v>
          </cell>
          <cell r="E393">
            <v>1</v>
          </cell>
          <cell r="F393" t="str">
            <v>TJS</v>
          </cell>
          <cell r="G393">
            <v>24</v>
          </cell>
          <cell r="H393">
            <v>7941</v>
          </cell>
          <cell r="I393">
            <v>1</v>
          </cell>
          <cell r="J393" t="str">
            <v>АКБ "Эсхата"</v>
          </cell>
          <cell r="K393">
            <v>190584</v>
          </cell>
          <cell r="L393">
            <v>7941</v>
          </cell>
          <cell r="M393">
            <v>1</v>
          </cell>
          <cell r="N393">
            <v>190584</v>
          </cell>
        </row>
        <row r="394">
          <cell r="A394">
            <v>2003</v>
          </cell>
          <cell r="B394">
            <v>3</v>
          </cell>
          <cell r="C394">
            <v>2</v>
          </cell>
          <cell r="D394">
            <v>420</v>
          </cell>
          <cell r="E394">
            <v>2</v>
          </cell>
          <cell r="F394" t="str">
            <v>USD</v>
          </cell>
          <cell r="G394">
            <v>15</v>
          </cell>
          <cell r="H394">
            <v>616</v>
          </cell>
          <cell r="I394">
            <v>1</v>
          </cell>
          <cell r="J394" t="str">
            <v>АКБ "Эсхата"</v>
          </cell>
          <cell r="K394">
            <v>9240</v>
          </cell>
          <cell r="L394">
            <v>614.2058252427184</v>
          </cell>
          <cell r="M394">
            <v>0.9970873786407767</v>
          </cell>
          <cell r="N394">
            <v>9213.087378640777</v>
          </cell>
        </row>
        <row r="395">
          <cell r="A395">
            <v>2003</v>
          </cell>
          <cell r="B395">
            <v>3</v>
          </cell>
          <cell r="C395">
            <v>2</v>
          </cell>
          <cell r="D395">
            <v>360</v>
          </cell>
          <cell r="E395">
            <v>2</v>
          </cell>
          <cell r="F395" t="str">
            <v>USD</v>
          </cell>
          <cell r="G395">
            <v>15</v>
          </cell>
          <cell r="H395">
            <v>21259</v>
          </cell>
          <cell r="I395">
            <v>2</v>
          </cell>
          <cell r="J395" t="str">
            <v>АКБ "Эсхата"</v>
          </cell>
          <cell r="K395">
            <v>318885</v>
          </cell>
          <cell r="L395">
            <v>21197.08058252427</v>
          </cell>
          <cell r="M395">
            <v>0.9970873786407767</v>
          </cell>
          <cell r="N395">
            <v>317956.20873786404</v>
          </cell>
        </row>
        <row r="396">
          <cell r="A396">
            <v>2003</v>
          </cell>
          <cell r="B396">
            <v>3</v>
          </cell>
          <cell r="C396">
            <v>2</v>
          </cell>
          <cell r="D396">
            <v>180</v>
          </cell>
          <cell r="E396">
            <v>2</v>
          </cell>
          <cell r="F396" t="str">
            <v>USD</v>
          </cell>
          <cell r="G396">
            <v>12</v>
          </cell>
          <cell r="H396">
            <v>4930</v>
          </cell>
          <cell r="I396">
            <v>1</v>
          </cell>
          <cell r="J396" t="str">
            <v>АКБ "Эсхата"</v>
          </cell>
          <cell r="K396">
            <v>59160</v>
          </cell>
          <cell r="L396">
            <v>4915.640776699029</v>
          </cell>
          <cell r="M396">
            <v>0.9970873786407767</v>
          </cell>
          <cell r="N396">
            <v>58987.68932038835</v>
          </cell>
        </row>
        <row r="397">
          <cell r="A397">
            <v>2003</v>
          </cell>
          <cell r="B397">
            <v>3</v>
          </cell>
          <cell r="C397">
            <v>2</v>
          </cell>
          <cell r="D397">
            <v>660</v>
          </cell>
          <cell r="E397">
            <v>2</v>
          </cell>
          <cell r="F397" t="str">
            <v>USD</v>
          </cell>
          <cell r="G397">
            <v>12</v>
          </cell>
          <cell r="H397">
            <v>308</v>
          </cell>
          <cell r="I397">
            <v>1</v>
          </cell>
          <cell r="J397" t="str">
            <v>АКБ "Эсхата"</v>
          </cell>
          <cell r="K397">
            <v>3696</v>
          </cell>
          <cell r="L397">
            <v>307.1029126213592</v>
          </cell>
          <cell r="M397">
            <v>0.9970873786407767</v>
          </cell>
          <cell r="N397">
            <v>3685.2349514563107</v>
          </cell>
        </row>
        <row r="398">
          <cell r="A398">
            <v>2003</v>
          </cell>
          <cell r="B398">
            <v>3</v>
          </cell>
          <cell r="C398">
            <v>2</v>
          </cell>
          <cell r="D398">
            <v>360</v>
          </cell>
          <cell r="E398">
            <v>2</v>
          </cell>
          <cell r="F398" t="str">
            <v>EURO</v>
          </cell>
          <cell r="G398">
            <v>12</v>
          </cell>
          <cell r="H398">
            <v>2971</v>
          </cell>
          <cell r="I398">
            <v>1</v>
          </cell>
          <cell r="J398" t="str">
            <v>АКБ "Эсхата"</v>
          </cell>
          <cell r="K398">
            <v>35652</v>
          </cell>
          <cell r="L398">
            <v>2726.665647241993</v>
          </cell>
          <cell r="M398">
            <v>0.917760231316726</v>
          </cell>
          <cell r="N398">
            <v>32719.987766903916</v>
          </cell>
        </row>
        <row r="399">
          <cell r="A399">
            <v>2003</v>
          </cell>
          <cell r="B399">
            <v>3</v>
          </cell>
          <cell r="C399">
            <v>1</v>
          </cell>
          <cell r="D399">
            <v>0</v>
          </cell>
          <cell r="E399">
            <v>1</v>
          </cell>
          <cell r="F399" t="str">
            <v>TJS</v>
          </cell>
          <cell r="G399">
            <v>0</v>
          </cell>
          <cell r="H399">
            <v>12725180</v>
          </cell>
          <cell r="I399">
            <v>237</v>
          </cell>
          <cell r="J399" t="str">
            <v>АКБ "Эсхата"</v>
          </cell>
          <cell r="K399">
            <v>0</v>
          </cell>
          <cell r="L399">
            <v>12725180</v>
          </cell>
          <cell r="M399">
            <v>1</v>
          </cell>
          <cell r="N399">
            <v>0</v>
          </cell>
        </row>
        <row r="400">
          <cell r="A400">
            <v>2003</v>
          </cell>
          <cell r="B400">
            <v>3</v>
          </cell>
          <cell r="C400">
            <v>1</v>
          </cell>
          <cell r="D400">
            <v>0</v>
          </cell>
          <cell r="E400">
            <v>2</v>
          </cell>
          <cell r="F400" t="str">
            <v>TJS</v>
          </cell>
          <cell r="G400">
            <v>0</v>
          </cell>
          <cell r="H400">
            <v>1378434</v>
          </cell>
          <cell r="I400">
            <v>33</v>
          </cell>
          <cell r="J400" t="str">
            <v>АКБ "Эсхата"</v>
          </cell>
          <cell r="K400">
            <v>0</v>
          </cell>
          <cell r="L400">
            <v>1378434</v>
          </cell>
          <cell r="M400">
            <v>1</v>
          </cell>
          <cell r="N400">
            <v>0</v>
          </cell>
        </row>
        <row r="401">
          <cell r="A401">
            <v>2003</v>
          </cell>
          <cell r="B401">
            <v>3</v>
          </cell>
          <cell r="C401">
            <v>1</v>
          </cell>
          <cell r="D401">
            <v>0</v>
          </cell>
          <cell r="E401">
            <v>1</v>
          </cell>
          <cell r="F401" t="str">
            <v>USD</v>
          </cell>
          <cell r="G401">
            <v>0</v>
          </cell>
          <cell r="H401">
            <v>6401780</v>
          </cell>
          <cell r="I401">
            <v>47</v>
          </cell>
          <cell r="J401" t="str">
            <v>АКБ "Эсхата"</v>
          </cell>
          <cell r="K401">
            <v>0</v>
          </cell>
          <cell r="L401">
            <v>6383134.038834951</v>
          </cell>
          <cell r="M401">
            <v>0.9970873786407767</v>
          </cell>
          <cell r="N401">
            <v>0</v>
          </cell>
        </row>
        <row r="402">
          <cell r="A402">
            <v>2003</v>
          </cell>
          <cell r="B402">
            <v>3</v>
          </cell>
          <cell r="C402">
            <v>1</v>
          </cell>
          <cell r="D402">
            <v>0</v>
          </cell>
          <cell r="E402">
            <v>1</v>
          </cell>
          <cell r="F402" t="str">
            <v>RUR</v>
          </cell>
          <cell r="G402">
            <v>0</v>
          </cell>
          <cell r="H402">
            <v>647049</v>
          </cell>
          <cell r="I402">
            <v>14</v>
          </cell>
          <cell r="J402" t="str">
            <v>АКБ "Эсхата"</v>
          </cell>
          <cell r="K402">
            <v>0</v>
          </cell>
          <cell r="L402">
            <v>624592.1818896864</v>
          </cell>
          <cell r="M402">
            <v>0.9652934814669158</v>
          </cell>
          <cell r="N402">
            <v>0</v>
          </cell>
        </row>
        <row r="403">
          <cell r="A403">
            <v>2003</v>
          </cell>
          <cell r="B403">
            <v>3</v>
          </cell>
          <cell r="C403">
            <v>1</v>
          </cell>
          <cell r="D403">
            <v>0</v>
          </cell>
          <cell r="E403">
            <v>1</v>
          </cell>
          <cell r="F403" t="str">
            <v>EURO</v>
          </cell>
          <cell r="G403">
            <v>0</v>
          </cell>
          <cell r="H403">
            <v>13411</v>
          </cell>
          <cell r="I403">
            <v>1</v>
          </cell>
          <cell r="J403" t="str">
            <v>АКБ "Эсхата"</v>
          </cell>
          <cell r="K403">
            <v>0</v>
          </cell>
          <cell r="L403">
            <v>12308.082462188613</v>
          </cell>
          <cell r="M403">
            <v>0.917760231316726</v>
          </cell>
          <cell r="N403">
            <v>0</v>
          </cell>
        </row>
        <row r="404">
          <cell r="A404">
            <v>2003</v>
          </cell>
          <cell r="B404">
            <v>3</v>
          </cell>
          <cell r="C404">
            <v>1</v>
          </cell>
          <cell r="D404">
            <v>0</v>
          </cell>
          <cell r="E404">
            <v>2</v>
          </cell>
          <cell r="F404" t="str">
            <v>USD</v>
          </cell>
          <cell r="G404">
            <v>0</v>
          </cell>
          <cell r="H404">
            <v>874149</v>
          </cell>
          <cell r="I404">
            <v>5</v>
          </cell>
          <cell r="J404" t="str">
            <v>АКБ "Эсхата"</v>
          </cell>
          <cell r="K404">
            <v>0</v>
          </cell>
          <cell r="L404">
            <v>871602.9349514563</v>
          </cell>
          <cell r="M404">
            <v>0.9970873786407767</v>
          </cell>
          <cell r="N404">
            <v>0</v>
          </cell>
        </row>
        <row r="405">
          <cell r="A405">
            <v>2003</v>
          </cell>
          <cell r="B405">
            <v>3</v>
          </cell>
          <cell r="C405">
            <v>1</v>
          </cell>
          <cell r="D405">
            <v>0</v>
          </cell>
          <cell r="E405">
            <v>2</v>
          </cell>
          <cell r="F405" t="str">
            <v>RUR</v>
          </cell>
          <cell r="G405">
            <v>0</v>
          </cell>
          <cell r="H405">
            <v>92750</v>
          </cell>
          <cell r="I405">
            <v>3</v>
          </cell>
          <cell r="J405" t="str">
            <v>АКБ "Эсхата"</v>
          </cell>
          <cell r="K405">
            <v>0</v>
          </cell>
          <cell r="L405">
            <v>89530.97040605644</v>
          </cell>
          <cell r="M405">
            <v>0.9652934814669158</v>
          </cell>
          <cell r="N405">
            <v>0</v>
          </cell>
        </row>
        <row r="406">
          <cell r="A406">
            <v>2003</v>
          </cell>
          <cell r="B406">
            <v>3</v>
          </cell>
          <cell r="C406">
            <v>1</v>
          </cell>
          <cell r="D406">
            <v>0</v>
          </cell>
          <cell r="E406">
            <v>1</v>
          </cell>
          <cell r="F406" t="str">
            <v>TJS</v>
          </cell>
          <cell r="G406">
            <v>0.5</v>
          </cell>
          <cell r="H406">
            <v>827092</v>
          </cell>
          <cell r="I406">
            <v>105</v>
          </cell>
          <cell r="J406" t="str">
            <v>АОЗТ "Кафолат"</v>
          </cell>
          <cell r="K406">
            <v>413546</v>
          </cell>
          <cell r="L406">
            <v>827092</v>
          </cell>
          <cell r="M406">
            <v>1</v>
          </cell>
          <cell r="N406">
            <v>413546</v>
          </cell>
        </row>
        <row r="407">
          <cell r="A407">
            <v>2003</v>
          </cell>
          <cell r="B407">
            <v>3</v>
          </cell>
          <cell r="C407">
            <v>2</v>
          </cell>
          <cell r="D407">
            <v>180</v>
          </cell>
          <cell r="E407">
            <v>1</v>
          </cell>
          <cell r="F407" t="str">
            <v>TJS</v>
          </cell>
          <cell r="G407">
            <v>20</v>
          </cell>
          <cell r="H407">
            <v>35000</v>
          </cell>
          <cell r="I407">
            <v>1</v>
          </cell>
          <cell r="J407" t="str">
            <v>АОЗТ "Кафолат"</v>
          </cell>
          <cell r="K407">
            <v>700000</v>
          </cell>
          <cell r="L407">
            <v>35000</v>
          </cell>
          <cell r="M407">
            <v>1</v>
          </cell>
          <cell r="N407">
            <v>700000</v>
          </cell>
        </row>
        <row r="408">
          <cell r="A408">
            <v>2003</v>
          </cell>
          <cell r="B408">
            <v>3</v>
          </cell>
          <cell r="C408">
            <v>2</v>
          </cell>
          <cell r="D408">
            <v>360</v>
          </cell>
          <cell r="E408">
            <v>1</v>
          </cell>
          <cell r="F408" t="str">
            <v>TJS</v>
          </cell>
          <cell r="G408">
            <v>24</v>
          </cell>
          <cell r="H408">
            <v>50000</v>
          </cell>
          <cell r="I408">
            <v>1</v>
          </cell>
          <cell r="J408" t="str">
            <v>АОЗТ "Кафолат"</v>
          </cell>
          <cell r="K408">
            <v>1200000</v>
          </cell>
          <cell r="L408">
            <v>50000</v>
          </cell>
          <cell r="M408">
            <v>1</v>
          </cell>
          <cell r="N408">
            <v>1200000</v>
          </cell>
        </row>
        <row r="409">
          <cell r="A409">
            <v>2003</v>
          </cell>
          <cell r="B409">
            <v>3</v>
          </cell>
          <cell r="C409">
            <v>3</v>
          </cell>
          <cell r="D409">
            <v>0</v>
          </cell>
          <cell r="E409">
            <v>1</v>
          </cell>
          <cell r="F409" t="str">
            <v>TJS</v>
          </cell>
          <cell r="G409">
            <v>0.5</v>
          </cell>
          <cell r="H409">
            <v>752</v>
          </cell>
          <cell r="I409">
            <v>5</v>
          </cell>
          <cell r="J409" t="str">
            <v>АОЗТ "Кафолат"</v>
          </cell>
          <cell r="K409">
            <v>376</v>
          </cell>
          <cell r="L409">
            <v>752</v>
          </cell>
          <cell r="M409">
            <v>1</v>
          </cell>
          <cell r="N409">
            <v>376</v>
          </cell>
        </row>
        <row r="410">
          <cell r="A410">
            <v>2003</v>
          </cell>
          <cell r="B410">
            <v>3</v>
          </cell>
          <cell r="C410">
            <v>2</v>
          </cell>
          <cell r="D410">
            <v>360</v>
          </cell>
          <cell r="E410">
            <v>2</v>
          </cell>
          <cell r="F410" t="str">
            <v>USD</v>
          </cell>
          <cell r="G410">
            <v>20</v>
          </cell>
          <cell r="H410">
            <v>367</v>
          </cell>
          <cell r="I410">
            <v>1</v>
          </cell>
          <cell r="J410" t="str">
            <v>АОЗТ "Кафолат"</v>
          </cell>
          <cell r="K410">
            <v>7340</v>
          </cell>
          <cell r="L410">
            <v>365.931067961165</v>
          </cell>
          <cell r="M410">
            <v>0.9970873786407767</v>
          </cell>
          <cell r="N410">
            <v>7318.621359223301</v>
          </cell>
        </row>
        <row r="411">
          <cell r="A411">
            <v>2003</v>
          </cell>
          <cell r="B411">
            <v>3</v>
          </cell>
          <cell r="C411">
            <v>2</v>
          </cell>
          <cell r="D411">
            <v>180</v>
          </cell>
          <cell r="E411">
            <v>2</v>
          </cell>
          <cell r="F411" t="str">
            <v>USD</v>
          </cell>
          <cell r="G411">
            <v>20</v>
          </cell>
          <cell r="H411">
            <v>33891</v>
          </cell>
          <cell r="I411">
            <v>1</v>
          </cell>
          <cell r="J411" t="str">
            <v>АОЗТ "Кафолат"</v>
          </cell>
          <cell r="K411">
            <v>677820</v>
          </cell>
          <cell r="L411">
            <v>33792.288349514565</v>
          </cell>
          <cell r="M411">
            <v>0.9970873786407767</v>
          </cell>
          <cell r="N411">
            <v>675845.7669902913</v>
          </cell>
        </row>
        <row r="412">
          <cell r="A412">
            <v>2003</v>
          </cell>
          <cell r="B412">
            <v>3</v>
          </cell>
          <cell r="C412">
            <v>2</v>
          </cell>
          <cell r="D412">
            <v>420</v>
          </cell>
          <cell r="E412">
            <v>2</v>
          </cell>
          <cell r="F412" t="str">
            <v>USD</v>
          </cell>
          <cell r="G412">
            <v>22</v>
          </cell>
          <cell r="H412">
            <v>61620</v>
          </cell>
          <cell r="I412">
            <v>2</v>
          </cell>
          <cell r="J412" t="str">
            <v>АОЗТ "Кафолат"</v>
          </cell>
          <cell r="K412">
            <v>1355640</v>
          </cell>
          <cell r="L412">
            <v>61440.52427184466</v>
          </cell>
          <cell r="M412">
            <v>0.9970873786407767</v>
          </cell>
          <cell r="N412">
            <v>1351691.5339805826</v>
          </cell>
        </row>
        <row r="413">
          <cell r="A413">
            <v>2003</v>
          </cell>
          <cell r="B413">
            <v>3</v>
          </cell>
          <cell r="C413">
            <v>2</v>
          </cell>
          <cell r="D413">
            <v>30</v>
          </cell>
          <cell r="E413">
            <v>2</v>
          </cell>
          <cell r="F413" t="str">
            <v>USD</v>
          </cell>
          <cell r="G413">
            <v>10</v>
          </cell>
          <cell r="H413">
            <v>31734</v>
          </cell>
          <cell r="I413">
            <v>1</v>
          </cell>
          <cell r="J413" t="str">
            <v>АОЗТ "Кафолат"</v>
          </cell>
          <cell r="K413">
            <v>317340</v>
          </cell>
          <cell r="L413">
            <v>31641.570873786408</v>
          </cell>
          <cell r="M413">
            <v>0.9970873786407767</v>
          </cell>
          <cell r="N413">
            <v>316415.70873786404</v>
          </cell>
        </row>
        <row r="414">
          <cell r="A414">
            <v>2003</v>
          </cell>
          <cell r="B414">
            <v>3</v>
          </cell>
          <cell r="C414">
            <v>2</v>
          </cell>
          <cell r="D414">
            <v>360</v>
          </cell>
          <cell r="E414">
            <v>2</v>
          </cell>
          <cell r="F414" t="str">
            <v>USD</v>
          </cell>
          <cell r="G414">
            <v>24</v>
          </cell>
          <cell r="H414">
            <v>370</v>
          </cell>
          <cell r="I414">
            <v>1</v>
          </cell>
          <cell r="J414" t="str">
            <v>АОЗТ "Кафолат"</v>
          </cell>
          <cell r="K414">
            <v>8880</v>
          </cell>
          <cell r="L414">
            <v>368.92233009708735</v>
          </cell>
          <cell r="M414">
            <v>0.9970873786407767</v>
          </cell>
          <cell r="N414">
            <v>8854.135922330097</v>
          </cell>
        </row>
        <row r="415">
          <cell r="A415">
            <v>2003</v>
          </cell>
          <cell r="B415">
            <v>3</v>
          </cell>
          <cell r="C415">
            <v>2</v>
          </cell>
          <cell r="D415">
            <v>360</v>
          </cell>
          <cell r="E415">
            <v>2</v>
          </cell>
          <cell r="F415" t="str">
            <v>USD</v>
          </cell>
          <cell r="G415">
            <v>20</v>
          </cell>
          <cell r="H415">
            <v>10167</v>
          </cell>
          <cell r="I415">
            <v>1</v>
          </cell>
          <cell r="J415" t="str">
            <v>АОЗТ "Кафолат"</v>
          </cell>
          <cell r="K415">
            <v>203340</v>
          </cell>
          <cell r="L415">
            <v>10137.387378640777</v>
          </cell>
          <cell r="M415">
            <v>0.9970873786407767</v>
          </cell>
          <cell r="N415">
            <v>202747.74757281554</v>
          </cell>
        </row>
        <row r="416">
          <cell r="A416">
            <v>2003</v>
          </cell>
          <cell r="B416">
            <v>3</v>
          </cell>
          <cell r="C416">
            <v>2</v>
          </cell>
          <cell r="D416">
            <v>420</v>
          </cell>
          <cell r="E416">
            <v>2</v>
          </cell>
          <cell r="F416" t="str">
            <v>USD</v>
          </cell>
          <cell r="G416">
            <v>20</v>
          </cell>
          <cell r="H416">
            <v>1541</v>
          </cell>
          <cell r="I416">
            <v>1</v>
          </cell>
          <cell r="J416" t="str">
            <v>АОЗТ "Кафолат"</v>
          </cell>
          <cell r="K416">
            <v>30820</v>
          </cell>
          <cell r="L416">
            <v>1536.5116504854368</v>
          </cell>
          <cell r="M416">
            <v>0.9970873786407767</v>
          </cell>
          <cell r="N416">
            <v>30730.233009708736</v>
          </cell>
        </row>
        <row r="417">
          <cell r="A417">
            <v>2003</v>
          </cell>
          <cell r="B417">
            <v>3</v>
          </cell>
          <cell r="C417">
            <v>2</v>
          </cell>
          <cell r="D417">
            <v>150</v>
          </cell>
          <cell r="E417">
            <v>2</v>
          </cell>
          <cell r="F417" t="str">
            <v>USD</v>
          </cell>
          <cell r="G417">
            <v>24</v>
          </cell>
          <cell r="H417">
            <v>29270</v>
          </cell>
          <cell r="I417">
            <v>1</v>
          </cell>
          <cell r="J417" t="str">
            <v>АОЗТ "Кафолат"</v>
          </cell>
          <cell r="K417">
            <v>702480</v>
          </cell>
          <cell r="L417">
            <v>29184.747572815533</v>
          </cell>
          <cell r="M417">
            <v>0.9970873786407767</v>
          </cell>
          <cell r="N417">
            <v>700433.9417475729</v>
          </cell>
        </row>
        <row r="418">
          <cell r="A418">
            <v>2003</v>
          </cell>
          <cell r="B418">
            <v>3</v>
          </cell>
          <cell r="C418">
            <v>2</v>
          </cell>
          <cell r="D418">
            <v>360</v>
          </cell>
          <cell r="E418">
            <v>2</v>
          </cell>
          <cell r="F418" t="str">
            <v>USD</v>
          </cell>
          <cell r="G418">
            <v>18</v>
          </cell>
          <cell r="H418">
            <v>4622</v>
          </cell>
          <cell r="I418">
            <v>1</v>
          </cell>
          <cell r="J418" t="str">
            <v>АОЗТ "Кафолат"</v>
          </cell>
          <cell r="K418">
            <v>83196</v>
          </cell>
          <cell r="L418">
            <v>4608.53786407767</v>
          </cell>
          <cell r="M418">
            <v>0.9970873786407767</v>
          </cell>
          <cell r="N418">
            <v>82953.68155339806</v>
          </cell>
        </row>
        <row r="419">
          <cell r="A419">
            <v>2003</v>
          </cell>
          <cell r="B419">
            <v>3</v>
          </cell>
          <cell r="C419">
            <v>1</v>
          </cell>
          <cell r="D419">
            <v>0</v>
          </cell>
          <cell r="E419">
            <v>2</v>
          </cell>
          <cell r="F419" t="str">
            <v>USD</v>
          </cell>
          <cell r="G419">
            <v>0</v>
          </cell>
          <cell r="H419">
            <v>1</v>
          </cell>
          <cell r="I419">
            <v>1</v>
          </cell>
          <cell r="J419" t="str">
            <v>АОЗТ "Кафолат"</v>
          </cell>
          <cell r="K419">
            <v>0</v>
          </cell>
          <cell r="L419">
            <v>0.9970873786407767</v>
          </cell>
          <cell r="M419">
            <v>0.9970873786407767</v>
          </cell>
          <cell r="N419">
            <v>0</v>
          </cell>
        </row>
        <row r="420">
          <cell r="A420">
            <v>2003</v>
          </cell>
          <cell r="B420">
            <v>3</v>
          </cell>
          <cell r="C420">
            <v>3</v>
          </cell>
          <cell r="D420">
            <v>0</v>
          </cell>
          <cell r="E420">
            <v>2</v>
          </cell>
          <cell r="F420" t="str">
            <v>USD</v>
          </cell>
          <cell r="G420">
            <v>0</v>
          </cell>
          <cell r="H420">
            <v>12601</v>
          </cell>
          <cell r="I420">
            <v>11</v>
          </cell>
          <cell r="J420" t="str">
            <v>АОЗТ "Кафолат"</v>
          </cell>
          <cell r="K420">
            <v>0</v>
          </cell>
          <cell r="L420">
            <v>12564.298058252427</v>
          </cell>
          <cell r="M420">
            <v>0.9970873786407767</v>
          </cell>
          <cell r="N420">
            <v>0</v>
          </cell>
        </row>
        <row r="421">
          <cell r="A421">
            <v>2003</v>
          </cell>
          <cell r="B421">
            <v>3</v>
          </cell>
          <cell r="C421">
            <v>1</v>
          </cell>
          <cell r="D421">
            <v>0</v>
          </cell>
          <cell r="E421">
            <v>1</v>
          </cell>
          <cell r="F421" t="str">
            <v>USD</v>
          </cell>
          <cell r="G421">
            <v>0</v>
          </cell>
          <cell r="H421">
            <v>1217929</v>
          </cell>
          <cell r="I421">
            <v>38</v>
          </cell>
          <cell r="J421" t="str">
            <v>АОЗТ "Кафолат"</v>
          </cell>
          <cell r="K421">
            <v>0</v>
          </cell>
          <cell r="L421">
            <v>1214381.6339805825</v>
          </cell>
          <cell r="M421">
            <v>0.9970873786407767</v>
          </cell>
          <cell r="N421">
            <v>0</v>
          </cell>
        </row>
        <row r="422">
          <cell r="A422">
            <v>2003</v>
          </cell>
          <cell r="B422">
            <v>3</v>
          </cell>
          <cell r="C422">
            <v>1</v>
          </cell>
          <cell r="D422">
            <v>0</v>
          </cell>
          <cell r="E422">
            <v>1</v>
          </cell>
          <cell r="F422" t="str">
            <v>TJS</v>
          </cell>
          <cell r="G422">
            <v>0</v>
          </cell>
          <cell r="H422">
            <v>692100</v>
          </cell>
          <cell r="I422">
            <v>9</v>
          </cell>
          <cell r="J422" t="str">
            <v>АОЗТ "Олимп"</v>
          </cell>
          <cell r="K422">
            <v>0</v>
          </cell>
          <cell r="L422">
            <v>692100</v>
          </cell>
          <cell r="M422">
            <v>1</v>
          </cell>
          <cell r="N422">
            <v>0</v>
          </cell>
        </row>
        <row r="423">
          <cell r="A423">
            <v>2003</v>
          </cell>
          <cell r="B423">
            <v>3</v>
          </cell>
          <cell r="C423">
            <v>1</v>
          </cell>
          <cell r="D423">
            <v>0</v>
          </cell>
          <cell r="E423">
            <v>1</v>
          </cell>
          <cell r="F423" t="str">
            <v>USD</v>
          </cell>
          <cell r="G423">
            <v>0</v>
          </cell>
          <cell r="H423">
            <v>267</v>
          </cell>
          <cell r="I423">
            <v>3</v>
          </cell>
          <cell r="J423" t="str">
            <v>АОЗТ "Олимп"</v>
          </cell>
          <cell r="K423">
            <v>0</v>
          </cell>
          <cell r="L423">
            <v>266.22233009708737</v>
          </cell>
          <cell r="M423">
            <v>0.9970873786407767</v>
          </cell>
          <cell r="N423">
            <v>0</v>
          </cell>
        </row>
        <row r="424">
          <cell r="A424">
            <v>2003</v>
          </cell>
          <cell r="B424">
            <v>3</v>
          </cell>
          <cell r="C424">
            <v>3</v>
          </cell>
          <cell r="D424">
            <v>0</v>
          </cell>
          <cell r="E424">
            <v>2</v>
          </cell>
          <cell r="F424" t="str">
            <v>TJS</v>
          </cell>
          <cell r="G424">
            <v>2</v>
          </cell>
          <cell r="H424">
            <v>1085</v>
          </cell>
          <cell r="I424">
            <v>21</v>
          </cell>
          <cell r="J424" t="str">
            <v>АОЗТ "Олимп"</v>
          </cell>
          <cell r="K424">
            <v>2170</v>
          </cell>
          <cell r="L424">
            <v>1085</v>
          </cell>
          <cell r="M424">
            <v>1</v>
          </cell>
          <cell r="N424">
            <v>2170</v>
          </cell>
        </row>
        <row r="425">
          <cell r="A425">
            <v>2003</v>
          </cell>
          <cell r="B425">
            <v>3</v>
          </cell>
          <cell r="C425">
            <v>2</v>
          </cell>
          <cell r="D425">
            <v>360</v>
          </cell>
          <cell r="E425">
            <v>2</v>
          </cell>
          <cell r="F425" t="str">
            <v>USD</v>
          </cell>
          <cell r="G425">
            <v>2</v>
          </cell>
          <cell r="H425">
            <v>2158</v>
          </cell>
          <cell r="I425">
            <v>2</v>
          </cell>
          <cell r="J425" t="str">
            <v>АОЗТ "Олимп"</v>
          </cell>
          <cell r="K425">
            <v>4316</v>
          </cell>
          <cell r="L425">
            <v>2151.714563106796</v>
          </cell>
          <cell r="M425">
            <v>0.9970873786407767</v>
          </cell>
          <cell r="N425">
            <v>4303.429126213592</v>
          </cell>
        </row>
        <row r="426">
          <cell r="A426">
            <v>2003</v>
          </cell>
          <cell r="B426">
            <v>3</v>
          </cell>
          <cell r="C426">
            <v>1</v>
          </cell>
          <cell r="D426">
            <v>0</v>
          </cell>
          <cell r="E426">
            <v>1</v>
          </cell>
          <cell r="F426" t="str">
            <v>TJS</v>
          </cell>
          <cell r="G426">
            <v>0</v>
          </cell>
          <cell r="H426">
            <v>8764212</v>
          </cell>
          <cell r="I426">
            <v>28</v>
          </cell>
          <cell r="J426" t="str">
            <v>АООТ "Ходжент"</v>
          </cell>
          <cell r="K426">
            <v>0</v>
          </cell>
          <cell r="L426">
            <v>8764212</v>
          </cell>
          <cell r="M426">
            <v>1</v>
          </cell>
          <cell r="N426">
            <v>0</v>
          </cell>
        </row>
        <row r="427">
          <cell r="A427">
            <v>2003</v>
          </cell>
          <cell r="B427">
            <v>3</v>
          </cell>
          <cell r="C427">
            <v>2</v>
          </cell>
          <cell r="D427">
            <v>410</v>
          </cell>
          <cell r="E427">
            <v>1</v>
          </cell>
          <cell r="F427" t="str">
            <v>TJS</v>
          </cell>
          <cell r="G427">
            <v>6</v>
          </cell>
          <cell r="H427">
            <v>650000</v>
          </cell>
          <cell r="I427">
            <v>1</v>
          </cell>
          <cell r="J427" t="str">
            <v>АООТ "Ходжент"</v>
          </cell>
          <cell r="K427">
            <v>3900000</v>
          </cell>
          <cell r="L427">
            <v>650000</v>
          </cell>
          <cell r="M427">
            <v>1</v>
          </cell>
          <cell r="N427">
            <v>3900000</v>
          </cell>
        </row>
        <row r="428">
          <cell r="A428">
            <v>2003</v>
          </cell>
          <cell r="B428">
            <v>3</v>
          </cell>
          <cell r="C428">
            <v>1</v>
          </cell>
          <cell r="D428">
            <v>0</v>
          </cell>
          <cell r="E428">
            <v>1</v>
          </cell>
          <cell r="F428" t="str">
            <v>USD</v>
          </cell>
          <cell r="G428">
            <v>0</v>
          </cell>
          <cell r="H428">
            <v>4754142</v>
          </cell>
          <cell r="I428">
            <v>10</v>
          </cell>
          <cell r="J428" t="str">
            <v>АООТ "Ходжент"</v>
          </cell>
          <cell r="K428">
            <v>0</v>
          </cell>
          <cell r="L428">
            <v>4740294.984466019</v>
          </cell>
          <cell r="M428">
            <v>0.9970873786407767</v>
          </cell>
          <cell r="N428">
            <v>0</v>
          </cell>
        </row>
        <row r="429">
          <cell r="A429">
            <v>2003</v>
          </cell>
          <cell r="B429">
            <v>3</v>
          </cell>
          <cell r="C429">
            <v>2</v>
          </cell>
          <cell r="D429">
            <v>410</v>
          </cell>
          <cell r="E429">
            <v>2</v>
          </cell>
          <cell r="F429" t="str">
            <v>USD</v>
          </cell>
          <cell r="G429">
            <v>20</v>
          </cell>
          <cell r="H429">
            <v>30810</v>
          </cell>
          <cell r="I429">
            <v>1</v>
          </cell>
          <cell r="J429" t="str">
            <v>АООТ "Ходжент"</v>
          </cell>
          <cell r="K429">
            <v>616200</v>
          </cell>
          <cell r="L429">
            <v>30720.26213592233</v>
          </cell>
          <cell r="M429">
            <v>0.9970873786407767</v>
          </cell>
          <cell r="N429">
            <v>614405.2427184465</v>
          </cell>
        </row>
        <row r="430">
          <cell r="A430">
            <v>2003</v>
          </cell>
          <cell r="B430">
            <v>3</v>
          </cell>
          <cell r="C430">
            <v>1</v>
          </cell>
          <cell r="D430">
            <v>0</v>
          </cell>
          <cell r="E430">
            <v>1</v>
          </cell>
          <cell r="F430" t="str">
            <v>TJS</v>
          </cell>
          <cell r="G430">
            <v>0</v>
          </cell>
          <cell r="H430">
            <v>25149487</v>
          </cell>
          <cell r="I430">
            <v>376</v>
          </cell>
          <cell r="J430" t="str">
            <v>ГАКБ "Точиксодиротбонк"</v>
          </cell>
          <cell r="K430">
            <v>0</v>
          </cell>
          <cell r="L430">
            <v>25149487</v>
          </cell>
          <cell r="M430">
            <v>1</v>
          </cell>
          <cell r="N430">
            <v>0</v>
          </cell>
        </row>
        <row r="431">
          <cell r="A431">
            <v>2003</v>
          </cell>
          <cell r="B431">
            <v>3</v>
          </cell>
          <cell r="C431">
            <v>1</v>
          </cell>
          <cell r="D431">
            <v>0</v>
          </cell>
          <cell r="E431">
            <v>2</v>
          </cell>
          <cell r="F431" t="str">
            <v>TJS</v>
          </cell>
          <cell r="G431">
            <v>0</v>
          </cell>
          <cell r="H431">
            <v>88851</v>
          </cell>
          <cell r="I431">
            <v>119</v>
          </cell>
          <cell r="J431" t="str">
            <v>ГАКБ "Точиксодиротбонк"</v>
          </cell>
          <cell r="K431">
            <v>0</v>
          </cell>
          <cell r="L431">
            <v>88851</v>
          </cell>
          <cell r="M431">
            <v>1</v>
          </cell>
          <cell r="N431">
            <v>0</v>
          </cell>
        </row>
        <row r="432">
          <cell r="A432">
            <v>2003</v>
          </cell>
          <cell r="B432">
            <v>3</v>
          </cell>
          <cell r="C432">
            <v>2</v>
          </cell>
          <cell r="D432">
            <v>360</v>
          </cell>
          <cell r="E432">
            <v>2</v>
          </cell>
          <cell r="F432" t="str">
            <v>TJS</v>
          </cell>
          <cell r="G432">
            <v>36</v>
          </cell>
          <cell r="H432">
            <v>13500</v>
          </cell>
          <cell r="I432">
            <v>3</v>
          </cell>
          <cell r="J432" t="str">
            <v>ГАКБ "Точиксодиротбонк"</v>
          </cell>
          <cell r="K432">
            <v>486000</v>
          </cell>
          <cell r="L432">
            <v>13500</v>
          </cell>
          <cell r="M432">
            <v>1</v>
          </cell>
          <cell r="N432">
            <v>486000</v>
          </cell>
        </row>
        <row r="433">
          <cell r="A433">
            <v>2003</v>
          </cell>
          <cell r="B433">
            <v>3</v>
          </cell>
          <cell r="C433">
            <v>2</v>
          </cell>
          <cell r="D433">
            <v>360</v>
          </cell>
          <cell r="E433">
            <v>1</v>
          </cell>
          <cell r="F433" t="str">
            <v>TJS</v>
          </cell>
          <cell r="G433">
            <v>12</v>
          </cell>
          <cell r="H433">
            <v>40000</v>
          </cell>
          <cell r="I433">
            <v>1</v>
          </cell>
          <cell r="J433" t="str">
            <v>ГАКБ "Точиксодиротбонк"</v>
          </cell>
          <cell r="K433">
            <v>480000</v>
          </cell>
          <cell r="L433">
            <v>40000</v>
          </cell>
          <cell r="M433">
            <v>1</v>
          </cell>
          <cell r="N433">
            <v>480000</v>
          </cell>
        </row>
        <row r="434">
          <cell r="A434">
            <v>2003</v>
          </cell>
          <cell r="B434">
            <v>3</v>
          </cell>
          <cell r="C434">
            <v>2</v>
          </cell>
          <cell r="D434">
            <v>360</v>
          </cell>
          <cell r="E434">
            <v>2</v>
          </cell>
          <cell r="F434" t="str">
            <v>TJS</v>
          </cell>
          <cell r="G434">
            <v>10</v>
          </cell>
          <cell r="H434">
            <v>200645</v>
          </cell>
          <cell r="I434">
            <v>70</v>
          </cell>
          <cell r="J434" t="str">
            <v>ГАКБ "Точиксодиротбонк"</v>
          </cell>
          <cell r="K434">
            <v>2006450</v>
          </cell>
          <cell r="L434">
            <v>200645</v>
          </cell>
          <cell r="M434">
            <v>1</v>
          </cell>
          <cell r="N434">
            <v>2006450</v>
          </cell>
        </row>
        <row r="435">
          <cell r="A435">
            <v>2003</v>
          </cell>
          <cell r="B435">
            <v>3</v>
          </cell>
          <cell r="C435">
            <v>2</v>
          </cell>
          <cell r="D435">
            <v>360</v>
          </cell>
          <cell r="E435">
            <v>2</v>
          </cell>
          <cell r="F435" t="str">
            <v>TJS</v>
          </cell>
          <cell r="G435">
            <v>25</v>
          </cell>
          <cell r="H435">
            <v>170</v>
          </cell>
          <cell r="I435">
            <v>6</v>
          </cell>
          <cell r="J435" t="str">
            <v>ГАКБ "Точиксодиротбонк"</v>
          </cell>
          <cell r="K435">
            <v>4250</v>
          </cell>
          <cell r="L435">
            <v>170</v>
          </cell>
          <cell r="M435">
            <v>1</v>
          </cell>
          <cell r="N435">
            <v>4250</v>
          </cell>
        </row>
        <row r="436">
          <cell r="A436">
            <v>2003</v>
          </cell>
          <cell r="B436">
            <v>3</v>
          </cell>
          <cell r="C436">
            <v>3</v>
          </cell>
          <cell r="D436">
            <v>360</v>
          </cell>
          <cell r="E436">
            <v>2</v>
          </cell>
          <cell r="F436" t="str">
            <v>TJS</v>
          </cell>
          <cell r="G436">
            <v>22</v>
          </cell>
          <cell r="H436">
            <v>163</v>
          </cell>
          <cell r="I436">
            <v>7</v>
          </cell>
          <cell r="J436" t="str">
            <v>ГАКБ "Точиксодиротбонк"</v>
          </cell>
          <cell r="K436">
            <v>3586</v>
          </cell>
          <cell r="L436">
            <v>163</v>
          </cell>
          <cell r="M436">
            <v>1</v>
          </cell>
          <cell r="N436">
            <v>3586</v>
          </cell>
        </row>
        <row r="437">
          <cell r="A437">
            <v>2003</v>
          </cell>
          <cell r="B437">
            <v>3</v>
          </cell>
          <cell r="C437">
            <v>2</v>
          </cell>
          <cell r="D437">
            <v>601</v>
          </cell>
          <cell r="E437">
            <v>2</v>
          </cell>
          <cell r="F437" t="str">
            <v>TJS</v>
          </cell>
          <cell r="G437">
            <v>30</v>
          </cell>
          <cell r="H437">
            <v>2083</v>
          </cell>
          <cell r="I437">
            <v>14</v>
          </cell>
          <cell r="J437" t="str">
            <v>ГАКБ "Точиксодиротбонк"</v>
          </cell>
          <cell r="K437">
            <v>62490</v>
          </cell>
          <cell r="L437">
            <v>2083</v>
          </cell>
          <cell r="M437">
            <v>1</v>
          </cell>
          <cell r="N437">
            <v>62490</v>
          </cell>
        </row>
        <row r="438">
          <cell r="A438">
            <v>2003</v>
          </cell>
          <cell r="B438">
            <v>3</v>
          </cell>
          <cell r="C438">
            <v>3</v>
          </cell>
          <cell r="D438">
            <v>360</v>
          </cell>
          <cell r="E438">
            <v>2</v>
          </cell>
          <cell r="F438" t="str">
            <v>TJS</v>
          </cell>
          <cell r="G438">
            <v>20</v>
          </cell>
          <cell r="H438">
            <v>12</v>
          </cell>
          <cell r="I438">
            <v>1</v>
          </cell>
          <cell r="J438" t="str">
            <v>ГАКБ "Точиксодиротбонк"</v>
          </cell>
          <cell r="K438">
            <v>240</v>
          </cell>
          <cell r="L438">
            <v>12</v>
          </cell>
          <cell r="M438">
            <v>1</v>
          </cell>
          <cell r="N438">
            <v>240</v>
          </cell>
        </row>
        <row r="439">
          <cell r="A439">
            <v>2003</v>
          </cell>
          <cell r="B439">
            <v>3</v>
          </cell>
          <cell r="C439">
            <v>1</v>
          </cell>
          <cell r="D439">
            <v>0</v>
          </cell>
          <cell r="E439">
            <v>1</v>
          </cell>
          <cell r="F439" t="str">
            <v>USD</v>
          </cell>
          <cell r="G439">
            <v>0</v>
          </cell>
          <cell r="H439">
            <v>24685261</v>
          </cell>
          <cell r="I439">
            <v>371</v>
          </cell>
          <cell r="J439" t="str">
            <v>ГАКБ "Точиксодиротбонк"</v>
          </cell>
          <cell r="K439">
            <v>0</v>
          </cell>
          <cell r="L439">
            <v>24613362.181553397</v>
          </cell>
          <cell r="M439">
            <v>0.9970873786407767</v>
          </cell>
          <cell r="N439">
            <v>0</v>
          </cell>
        </row>
        <row r="440">
          <cell r="A440">
            <v>2003</v>
          </cell>
          <cell r="B440">
            <v>3</v>
          </cell>
          <cell r="C440">
            <v>1</v>
          </cell>
          <cell r="D440">
            <v>0</v>
          </cell>
          <cell r="E440">
            <v>2</v>
          </cell>
          <cell r="F440" t="str">
            <v>USD</v>
          </cell>
          <cell r="G440">
            <v>0</v>
          </cell>
          <cell r="H440">
            <v>27707</v>
          </cell>
          <cell r="I440">
            <v>3</v>
          </cell>
          <cell r="J440" t="str">
            <v>ГАКБ "Точиксодиротбонк"</v>
          </cell>
          <cell r="K440">
            <v>0</v>
          </cell>
          <cell r="L440">
            <v>27626.3</v>
          </cell>
          <cell r="M440">
            <v>0.9970873786407767</v>
          </cell>
          <cell r="N440">
            <v>0</v>
          </cell>
        </row>
        <row r="441">
          <cell r="A441">
            <v>2003</v>
          </cell>
          <cell r="B441">
            <v>3</v>
          </cell>
          <cell r="C441">
            <v>2</v>
          </cell>
          <cell r="D441">
            <v>180</v>
          </cell>
          <cell r="E441">
            <v>2</v>
          </cell>
          <cell r="F441" t="str">
            <v>USD</v>
          </cell>
          <cell r="G441">
            <v>12</v>
          </cell>
          <cell r="H441">
            <v>415</v>
          </cell>
          <cell r="I441">
            <v>1</v>
          </cell>
          <cell r="J441" t="str">
            <v>ГАКБ "Точиксодиротбонк"</v>
          </cell>
          <cell r="K441">
            <v>4980</v>
          </cell>
          <cell r="L441">
            <v>413.7912621359223</v>
          </cell>
          <cell r="M441">
            <v>0.9970873786407767</v>
          </cell>
          <cell r="N441">
            <v>4965.495145631068</v>
          </cell>
        </row>
        <row r="442">
          <cell r="A442">
            <v>2003</v>
          </cell>
          <cell r="B442">
            <v>3</v>
          </cell>
          <cell r="C442">
            <v>2</v>
          </cell>
          <cell r="D442">
            <v>1080</v>
          </cell>
          <cell r="E442">
            <v>2</v>
          </cell>
          <cell r="F442" t="str">
            <v>USD</v>
          </cell>
          <cell r="G442">
            <v>15</v>
          </cell>
          <cell r="H442">
            <v>18486</v>
          </cell>
          <cell r="I442">
            <v>1</v>
          </cell>
          <cell r="J442" t="str">
            <v>ГАКБ "Точиксодиротбонк"</v>
          </cell>
          <cell r="K442">
            <v>277290</v>
          </cell>
          <cell r="L442">
            <v>18432.1572815534</v>
          </cell>
          <cell r="M442">
            <v>0.9970873786407767</v>
          </cell>
          <cell r="N442">
            <v>276482.35922330094</v>
          </cell>
        </row>
        <row r="443">
          <cell r="A443">
            <v>2003</v>
          </cell>
          <cell r="B443">
            <v>3</v>
          </cell>
          <cell r="C443">
            <v>2</v>
          </cell>
          <cell r="D443">
            <v>360</v>
          </cell>
          <cell r="E443">
            <v>2</v>
          </cell>
          <cell r="F443" t="str">
            <v>USD</v>
          </cell>
          <cell r="G443">
            <v>15</v>
          </cell>
          <cell r="H443">
            <v>12324</v>
          </cell>
          <cell r="I443">
            <v>2</v>
          </cell>
          <cell r="J443" t="str">
            <v>ГАКБ "Точиксодиротбонк"</v>
          </cell>
          <cell r="K443">
            <v>184860</v>
          </cell>
          <cell r="L443">
            <v>12288.104854368932</v>
          </cell>
          <cell r="M443">
            <v>0.9970873786407767</v>
          </cell>
          <cell r="N443">
            <v>184321.572815534</v>
          </cell>
        </row>
        <row r="444">
          <cell r="A444">
            <v>2003</v>
          </cell>
          <cell r="B444">
            <v>3</v>
          </cell>
          <cell r="C444">
            <v>2</v>
          </cell>
          <cell r="D444">
            <v>601</v>
          </cell>
          <cell r="E444">
            <v>2</v>
          </cell>
          <cell r="F444" t="str">
            <v>USD</v>
          </cell>
          <cell r="G444">
            <v>20</v>
          </cell>
          <cell r="H444">
            <v>135</v>
          </cell>
          <cell r="I444">
            <v>1</v>
          </cell>
          <cell r="J444" t="str">
            <v>ГАКБ "Точиксодиротбонк"</v>
          </cell>
          <cell r="K444">
            <v>2700</v>
          </cell>
          <cell r="L444">
            <v>134.60679611650485</v>
          </cell>
          <cell r="M444">
            <v>0.9970873786407767</v>
          </cell>
          <cell r="N444">
            <v>2692.135922330097</v>
          </cell>
        </row>
        <row r="445">
          <cell r="A445">
            <v>2003</v>
          </cell>
          <cell r="B445">
            <v>3</v>
          </cell>
          <cell r="C445">
            <v>2</v>
          </cell>
          <cell r="D445">
            <v>360</v>
          </cell>
          <cell r="E445">
            <v>2</v>
          </cell>
          <cell r="F445" t="str">
            <v>USD</v>
          </cell>
          <cell r="G445">
            <v>12</v>
          </cell>
          <cell r="H445">
            <v>1232</v>
          </cell>
          <cell r="I445">
            <v>1</v>
          </cell>
          <cell r="J445" t="str">
            <v>ГАКБ "Точиксодиротбонк"</v>
          </cell>
          <cell r="K445">
            <v>14784</v>
          </cell>
          <cell r="L445">
            <v>1228.411650485437</v>
          </cell>
          <cell r="M445">
            <v>0.9970873786407767</v>
          </cell>
          <cell r="N445">
            <v>14740.939805825243</v>
          </cell>
        </row>
        <row r="446">
          <cell r="A446">
            <v>2003</v>
          </cell>
          <cell r="B446">
            <v>3</v>
          </cell>
          <cell r="C446">
            <v>2</v>
          </cell>
          <cell r="D446">
            <v>360</v>
          </cell>
          <cell r="E446">
            <v>2</v>
          </cell>
          <cell r="F446" t="str">
            <v>USD</v>
          </cell>
          <cell r="G446">
            <v>18</v>
          </cell>
          <cell r="H446">
            <v>11196</v>
          </cell>
          <cell r="I446">
            <v>55</v>
          </cell>
          <cell r="J446" t="str">
            <v>ГАКБ "Точиксодиротбонк"</v>
          </cell>
          <cell r="K446">
            <v>201528</v>
          </cell>
          <cell r="L446">
            <v>11163.390291262136</v>
          </cell>
          <cell r="M446">
            <v>0.9970873786407767</v>
          </cell>
          <cell r="N446">
            <v>200941.02524271843</v>
          </cell>
        </row>
        <row r="447">
          <cell r="A447">
            <v>2003</v>
          </cell>
          <cell r="B447">
            <v>3</v>
          </cell>
          <cell r="C447">
            <v>2</v>
          </cell>
          <cell r="D447">
            <v>360</v>
          </cell>
          <cell r="E447">
            <v>2</v>
          </cell>
          <cell r="F447" t="str">
            <v>USD</v>
          </cell>
          <cell r="G447">
            <v>20</v>
          </cell>
          <cell r="H447">
            <v>228216</v>
          </cell>
          <cell r="I447">
            <v>7</v>
          </cell>
          <cell r="J447" t="str">
            <v>ГАКБ "Точиксодиротбонк"</v>
          </cell>
          <cell r="K447">
            <v>4564320</v>
          </cell>
          <cell r="L447">
            <v>227551.29320388348</v>
          </cell>
          <cell r="M447">
            <v>0.9970873786407767</v>
          </cell>
          <cell r="N447">
            <v>4551025.86407767</v>
          </cell>
        </row>
        <row r="448">
          <cell r="A448">
            <v>2003</v>
          </cell>
          <cell r="B448">
            <v>3</v>
          </cell>
          <cell r="C448">
            <v>3</v>
          </cell>
          <cell r="D448">
            <v>360</v>
          </cell>
          <cell r="E448">
            <v>2</v>
          </cell>
          <cell r="F448" t="str">
            <v>USD</v>
          </cell>
          <cell r="G448">
            <v>20</v>
          </cell>
          <cell r="H448">
            <v>338780</v>
          </cell>
          <cell r="I448">
            <v>2</v>
          </cell>
          <cell r="J448" t="str">
            <v>ГАКБ "Точиксодиротбонк"</v>
          </cell>
          <cell r="K448">
            <v>6775600</v>
          </cell>
          <cell r="L448">
            <v>337793.2621359223</v>
          </cell>
          <cell r="M448">
            <v>0.9970873786407767</v>
          </cell>
          <cell r="N448">
            <v>6755865.242718446</v>
          </cell>
        </row>
        <row r="449">
          <cell r="A449">
            <v>2003</v>
          </cell>
          <cell r="B449">
            <v>3</v>
          </cell>
          <cell r="C449">
            <v>3</v>
          </cell>
          <cell r="D449">
            <v>0</v>
          </cell>
          <cell r="E449">
            <v>2</v>
          </cell>
          <cell r="F449" t="str">
            <v>USD</v>
          </cell>
          <cell r="G449">
            <v>20</v>
          </cell>
          <cell r="H449">
            <v>3200</v>
          </cell>
          <cell r="I449">
            <v>1</v>
          </cell>
          <cell r="J449" t="str">
            <v>ГАКБ "Точиксодиротбонк"</v>
          </cell>
          <cell r="K449">
            <v>64000</v>
          </cell>
          <cell r="L449">
            <v>3190.679611650485</v>
          </cell>
          <cell r="M449">
            <v>0.9970873786407767</v>
          </cell>
          <cell r="N449">
            <v>63813.59223300971</v>
          </cell>
        </row>
        <row r="450">
          <cell r="A450">
            <v>2003</v>
          </cell>
          <cell r="B450">
            <v>3</v>
          </cell>
          <cell r="C450">
            <v>3</v>
          </cell>
          <cell r="D450">
            <v>720</v>
          </cell>
          <cell r="E450">
            <v>2</v>
          </cell>
          <cell r="F450" t="str">
            <v>USD</v>
          </cell>
          <cell r="G450">
            <v>21</v>
          </cell>
          <cell r="H450">
            <v>21169</v>
          </cell>
          <cell r="I450">
            <v>1</v>
          </cell>
          <cell r="J450" t="str">
            <v>ГАКБ "Точиксодиротбонк"</v>
          </cell>
          <cell r="K450">
            <v>444549</v>
          </cell>
          <cell r="L450">
            <v>21107.3427184466</v>
          </cell>
          <cell r="M450">
            <v>0.9970873786407767</v>
          </cell>
          <cell r="N450">
            <v>443254.19708737865</v>
          </cell>
        </row>
        <row r="451">
          <cell r="A451">
            <v>2003</v>
          </cell>
          <cell r="B451">
            <v>3</v>
          </cell>
          <cell r="C451">
            <v>2</v>
          </cell>
          <cell r="D451">
            <v>540</v>
          </cell>
          <cell r="E451">
            <v>2</v>
          </cell>
          <cell r="F451" t="str">
            <v>USD</v>
          </cell>
          <cell r="G451">
            <v>18</v>
          </cell>
          <cell r="H451">
            <v>153750</v>
          </cell>
          <cell r="I451">
            <v>1</v>
          </cell>
          <cell r="J451" t="str">
            <v>ГАКБ "Точиксодиротбонк"</v>
          </cell>
          <cell r="K451">
            <v>2767500</v>
          </cell>
          <cell r="L451">
            <v>153302.18446601942</v>
          </cell>
          <cell r="M451">
            <v>0.9970873786407767</v>
          </cell>
          <cell r="N451">
            <v>2759439.3203883492</v>
          </cell>
        </row>
        <row r="452">
          <cell r="A452">
            <v>2003</v>
          </cell>
          <cell r="B452">
            <v>3</v>
          </cell>
          <cell r="C452">
            <v>2</v>
          </cell>
          <cell r="D452">
            <v>480</v>
          </cell>
          <cell r="E452">
            <v>2</v>
          </cell>
          <cell r="F452" t="str">
            <v>USD</v>
          </cell>
          <cell r="G452">
            <v>18</v>
          </cell>
          <cell r="H452">
            <v>66</v>
          </cell>
          <cell r="I452">
            <v>1</v>
          </cell>
          <cell r="J452" t="str">
            <v>ГАКБ "Точиксодиротбонк"</v>
          </cell>
          <cell r="K452">
            <v>1188</v>
          </cell>
          <cell r="L452">
            <v>65.80776699029126</v>
          </cell>
          <cell r="M452">
            <v>0.9970873786407767</v>
          </cell>
          <cell r="N452">
            <v>1184.5398058252426</v>
          </cell>
        </row>
        <row r="453">
          <cell r="A453">
            <v>2003</v>
          </cell>
          <cell r="B453">
            <v>3</v>
          </cell>
          <cell r="C453">
            <v>2</v>
          </cell>
          <cell r="D453">
            <v>720</v>
          </cell>
          <cell r="E453">
            <v>2</v>
          </cell>
          <cell r="F453" t="str">
            <v>USD</v>
          </cell>
          <cell r="G453">
            <v>21</v>
          </cell>
          <cell r="H453">
            <v>102801</v>
          </cell>
          <cell r="I453">
            <v>7</v>
          </cell>
          <cell r="J453" t="str">
            <v>ГАКБ "Точиксодиротбонк"</v>
          </cell>
          <cell r="K453">
            <v>2158821</v>
          </cell>
          <cell r="L453">
            <v>102501.57961165048</v>
          </cell>
          <cell r="M453">
            <v>0.9970873786407767</v>
          </cell>
          <cell r="N453">
            <v>2152533.1718446603</v>
          </cell>
        </row>
        <row r="454">
          <cell r="A454">
            <v>2003</v>
          </cell>
          <cell r="B454">
            <v>3</v>
          </cell>
          <cell r="C454">
            <v>2</v>
          </cell>
          <cell r="D454">
            <v>601</v>
          </cell>
          <cell r="E454">
            <v>2</v>
          </cell>
          <cell r="F454" t="str">
            <v>USD</v>
          </cell>
          <cell r="G454">
            <v>20</v>
          </cell>
          <cell r="H454">
            <v>35085</v>
          </cell>
          <cell r="I454">
            <v>38</v>
          </cell>
          <cell r="J454" t="str">
            <v>ГАКБ "Точиксодиротбонк"</v>
          </cell>
          <cell r="K454">
            <v>701700</v>
          </cell>
          <cell r="L454">
            <v>34982.81067961165</v>
          </cell>
          <cell r="M454">
            <v>0.9970873786407767</v>
          </cell>
          <cell r="N454">
            <v>699656.213592233</v>
          </cell>
        </row>
        <row r="455">
          <cell r="A455">
            <v>2003</v>
          </cell>
          <cell r="B455">
            <v>3</v>
          </cell>
          <cell r="C455">
            <v>2</v>
          </cell>
          <cell r="D455">
            <v>90</v>
          </cell>
          <cell r="E455">
            <v>2</v>
          </cell>
          <cell r="F455" t="str">
            <v>USD</v>
          </cell>
          <cell r="G455">
            <v>7.2</v>
          </cell>
          <cell r="H455">
            <v>1383</v>
          </cell>
          <cell r="I455">
            <v>1</v>
          </cell>
          <cell r="J455" t="str">
            <v>ГАКБ "Точиксодиротбонк"</v>
          </cell>
          <cell r="K455">
            <v>9957.6</v>
          </cell>
          <cell r="L455">
            <v>1378.9718446601942</v>
          </cell>
          <cell r="M455">
            <v>0.9970873786407767</v>
          </cell>
          <cell r="N455">
            <v>9928.597281553399</v>
          </cell>
        </row>
        <row r="456">
          <cell r="A456">
            <v>2003</v>
          </cell>
          <cell r="B456">
            <v>3</v>
          </cell>
          <cell r="C456">
            <v>2</v>
          </cell>
          <cell r="D456">
            <v>90</v>
          </cell>
          <cell r="E456">
            <v>2</v>
          </cell>
          <cell r="F456" t="str">
            <v>USD</v>
          </cell>
          <cell r="G456">
            <v>5.5</v>
          </cell>
          <cell r="H456">
            <v>97</v>
          </cell>
          <cell r="I456">
            <v>1</v>
          </cell>
          <cell r="J456" t="str">
            <v>ГАКБ "Точиксодиротбонк"</v>
          </cell>
          <cell r="K456">
            <v>533.5</v>
          </cell>
          <cell r="L456">
            <v>96.71747572815534</v>
          </cell>
          <cell r="M456">
            <v>0.9970873786407767</v>
          </cell>
          <cell r="N456">
            <v>531.9461165048543</v>
          </cell>
        </row>
        <row r="457">
          <cell r="A457">
            <v>2003</v>
          </cell>
          <cell r="B457">
            <v>3</v>
          </cell>
          <cell r="C457">
            <v>1</v>
          </cell>
          <cell r="D457">
            <v>0</v>
          </cell>
          <cell r="E457">
            <v>2</v>
          </cell>
          <cell r="F457" t="str">
            <v>RUR</v>
          </cell>
          <cell r="G457">
            <v>0</v>
          </cell>
          <cell r="H457">
            <v>140</v>
          </cell>
          <cell r="I457">
            <v>1</v>
          </cell>
          <cell r="J457" t="str">
            <v>ГАКБ "Точиксодиротбонк"</v>
          </cell>
          <cell r="K457">
            <v>0</v>
          </cell>
          <cell r="L457">
            <v>135.1410874053682</v>
          </cell>
          <cell r="M457">
            <v>0.9652934814669158</v>
          </cell>
          <cell r="N457">
            <v>0</v>
          </cell>
        </row>
        <row r="458">
          <cell r="A458">
            <v>2003</v>
          </cell>
          <cell r="B458">
            <v>3</v>
          </cell>
          <cell r="C458">
            <v>1</v>
          </cell>
          <cell r="D458">
            <v>0</v>
          </cell>
          <cell r="E458">
            <v>1</v>
          </cell>
          <cell r="F458" t="str">
            <v>RUR</v>
          </cell>
          <cell r="G458">
            <v>0</v>
          </cell>
          <cell r="H458">
            <v>199338</v>
          </cell>
          <cell r="I458">
            <v>17</v>
          </cell>
          <cell r="J458" t="str">
            <v>ГАКБ "Точиксодиротбонк"</v>
          </cell>
          <cell r="K458">
            <v>0</v>
          </cell>
          <cell r="L458">
            <v>192419.67200865207</v>
          </cell>
          <cell r="M458">
            <v>0.9652934814669158</v>
          </cell>
          <cell r="N458">
            <v>0</v>
          </cell>
        </row>
        <row r="459">
          <cell r="A459">
            <v>2003</v>
          </cell>
          <cell r="B459">
            <v>3</v>
          </cell>
          <cell r="C459">
            <v>1</v>
          </cell>
          <cell r="D459">
            <v>0</v>
          </cell>
          <cell r="E459">
            <v>1</v>
          </cell>
          <cell r="F459" t="str">
            <v>TJS</v>
          </cell>
          <cell r="G459">
            <v>0</v>
          </cell>
          <cell r="H459">
            <v>10542920</v>
          </cell>
          <cell r="I459">
            <v>3846</v>
          </cell>
          <cell r="J459" t="str">
            <v>ГСБ "Амонатбанк"</v>
          </cell>
          <cell r="K459">
            <v>0</v>
          </cell>
          <cell r="L459">
            <v>10542920</v>
          </cell>
          <cell r="M459">
            <v>1</v>
          </cell>
          <cell r="N459">
            <v>0</v>
          </cell>
        </row>
        <row r="460">
          <cell r="A460">
            <v>2003</v>
          </cell>
          <cell r="B460">
            <v>3</v>
          </cell>
          <cell r="C460">
            <v>1</v>
          </cell>
          <cell r="D460">
            <v>0</v>
          </cell>
          <cell r="E460">
            <v>1</v>
          </cell>
          <cell r="F460" t="str">
            <v>TJS</v>
          </cell>
          <cell r="G460">
            <v>2.4</v>
          </cell>
          <cell r="H460">
            <v>58005800</v>
          </cell>
          <cell r="I460">
            <v>1732</v>
          </cell>
          <cell r="J460" t="str">
            <v>ГСБ "Амонатбанк"</v>
          </cell>
          <cell r="K460">
            <v>139213920</v>
          </cell>
          <cell r="L460">
            <v>58005800</v>
          </cell>
          <cell r="M460">
            <v>1</v>
          </cell>
          <cell r="N460">
            <v>139213920</v>
          </cell>
        </row>
        <row r="461">
          <cell r="A461">
            <v>2003</v>
          </cell>
          <cell r="B461">
            <v>3</v>
          </cell>
          <cell r="C461">
            <v>2</v>
          </cell>
          <cell r="D461">
            <v>90</v>
          </cell>
          <cell r="E461">
            <v>2</v>
          </cell>
          <cell r="F461" t="str">
            <v>TJS</v>
          </cell>
          <cell r="G461">
            <v>15</v>
          </cell>
          <cell r="H461">
            <v>43191</v>
          </cell>
          <cell r="I461">
            <v>32</v>
          </cell>
          <cell r="J461" t="str">
            <v>ГСБ "Амонатбанк"</v>
          </cell>
          <cell r="K461">
            <v>647865</v>
          </cell>
          <cell r="L461">
            <v>43191</v>
          </cell>
          <cell r="M461">
            <v>1</v>
          </cell>
          <cell r="N461">
            <v>647865</v>
          </cell>
        </row>
        <row r="462">
          <cell r="A462">
            <v>2003</v>
          </cell>
          <cell r="B462">
            <v>3</v>
          </cell>
          <cell r="C462">
            <v>2</v>
          </cell>
          <cell r="D462">
            <v>180</v>
          </cell>
          <cell r="E462">
            <v>2</v>
          </cell>
          <cell r="F462" t="str">
            <v>TJS</v>
          </cell>
          <cell r="G462">
            <v>18</v>
          </cell>
          <cell r="H462">
            <v>40077</v>
          </cell>
          <cell r="I462">
            <v>12</v>
          </cell>
          <cell r="J462" t="str">
            <v>ГСБ "Амонатбанк"</v>
          </cell>
          <cell r="K462">
            <v>721386</v>
          </cell>
          <cell r="L462">
            <v>40077</v>
          </cell>
          <cell r="M462">
            <v>1</v>
          </cell>
          <cell r="N462">
            <v>721386</v>
          </cell>
        </row>
        <row r="463">
          <cell r="A463">
            <v>2003</v>
          </cell>
          <cell r="B463">
            <v>3</v>
          </cell>
          <cell r="C463">
            <v>2</v>
          </cell>
          <cell r="D463">
            <v>360</v>
          </cell>
          <cell r="E463">
            <v>2</v>
          </cell>
          <cell r="F463" t="str">
            <v>TJS</v>
          </cell>
          <cell r="G463">
            <v>24</v>
          </cell>
          <cell r="H463">
            <v>105647</v>
          </cell>
          <cell r="I463">
            <v>56</v>
          </cell>
          <cell r="J463" t="str">
            <v>ГСБ "Амонатбанк"</v>
          </cell>
          <cell r="K463">
            <v>2535528</v>
          </cell>
          <cell r="L463">
            <v>105647</v>
          </cell>
          <cell r="M463">
            <v>1</v>
          </cell>
          <cell r="N463">
            <v>2535528</v>
          </cell>
        </row>
        <row r="464">
          <cell r="A464">
            <v>2003</v>
          </cell>
          <cell r="B464">
            <v>3</v>
          </cell>
          <cell r="C464">
            <v>2</v>
          </cell>
          <cell r="D464">
            <v>1080</v>
          </cell>
          <cell r="E464">
            <v>2</v>
          </cell>
          <cell r="F464" t="str">
            <v>TJS</v>
          </cell>
          <cell r="G464">
            <v>30</v>
          </cell>
          <cell r="H464">
            <v>60897</v>
          </cell>
          <cell r="I464">
            <v>48</v>
          </cell>
          <cell r="J464" t="str">
            <v>ГСБ "Амонатбанк"</v>
          </cell>
          <cell r="K464">
            <v>1826910</v>
          </cell>
          <cell r="L464">
            <v>60897</v>
          </cell>
          <cell r="M464">
            <v>1</v>
          </cell>
          <cell r="N464">
            <v>1826910</v>
          </cell>
        </row>
        <row r="465">
          <cell r="A465">
            <v>2003</v>
          </cell>
          <cell r="B465">
            <v>3</v>
          </cell>
          <cell r="C465">
            <v>2</v>
          </cell>
          <cell r="D465">
            <v>360</v>
          </cell>
          <cell r="E465">
            <v>2</v>
          </cell>
          <cell r="F465" t="str">
            <v>TJS</v>
          </cell>
          <cell r="G465">
            <v>2</v>
          </cell>
          <cell r="H465">
            <v>554</v>
          </cell>
          <cell r="I465">
            <v>6</v>
          </cell>
          <cell r="J465" t="str">
            <v>ГСБ "Амонатбанк"</v>
          </cell>
          <cell r="K465">
            <v>1108</v>
          </cell>
          <cell r="L465">
            <v>554</v>
          </cell>
          <cell r="M465">
            <v>1</v>
          </cell>
          <cell r="N465">
            <v>1108</v>
          </cell>
        </row>
        <row r="466">
          <cell r="A466">
            <v>2003</v>
          </cell>
          <cell r="B466">
            <v>3</v>
          </cell>
          <cell r="C466">
            <v>3</v>
          </cell>
          <cell r="D466">
            <v>360</v>
          </cell>
          <cell r="E466">
            <v>2</v>
          </cell>
          <cell r="F466" t="str">
            <v>TJS</v>
          </cell>
          <cell r="G466">
            <v>2</v>
          </cell>
          <cell r="H466">
            <v>602490</v>
          </cell>
          <cell r="I466">
            <v>24201</v>
          </cell>
          <cell r="J466" t="str">
            <v>ГСБ "Амонатбанк"</v>
          </cell>
          <cell r="K466">
            <v>1204980</v>
          </cell>
          <cell r="L466">
            <v>602490</v>
          </cell>
          <cell r="M466">
            <v>1</v>
          </cell>
          <cell r="N466">
            <v>1204980</v>
          </cell>
        </row>
        <row r="467">
          <cell r="A467">
            <v>2003</v>
          </cell>
          <cell r="B467">
            <v>3</v>
          </cell>
          <cell r="C467">
            <v>1</v>
          </cell>
          <cell r="D467">
            <v>0</v>
          </cell>
          <cell r="E467">
            <v>1</v>
          </cell>
          <cell r="F467" t="str">
            <v>USD</v>
          </cell>
          <cell r="G467">
            <v>0</v>
          </cell>
          <cell r="H467">
            <v>5202917</v>
          </cell>
          <cell r="I467">
            <v>98</v>
          </cell>
          <cell r="J467" t="str">
            <v>ГСБ "Амонатбанк"</v>
          </cell>
          <cell r="K467">
            <v>0</v>
          </cell>
          <cell r="L467">
            <v>5187762.872815534</v>
          </cell>
          <cell r="M467">
            <v>0.9970873786407767</v>
          </cell>
          <cell r="N467">
            <v>0</v>
          </cell>
        </row>
        <row r="468">
          <cell r="A468">
            <v>2003</v>
          </cell>
          <cell r="B468">
            <v>3</v>
          </cell>
          <cell r="C468">
            <v>1</v>
          </cell>
          <cell r="D468">
            <v>0</v>
          </cell>
          <cell r="E468">
            <v>1</v>
          </cell>
          <cell r="F468" t="str">
            <v>RUR</v>
          </cell>
          <cell r="G468">
            <v>0</v>
          </cell>
          <cell r="H468">
            <v>165282</v>
          </cell>
          <cell r="I468">
            <v>23</v>
          </cell>
          <cell r="J468" t="str">
            <v>ГСБ "Амонатбанк"</v>
          </cell>
          <cell r="K468">
            <v>0</v>
          </cell>
          <cell r="L468">
            <v>159545.63720381478</v>
          </cell>
          <cell r="M468">
            <v>0.9652934814669158</v>
          </cell>
          <cell r="N468">
            <v>0</v>
          </cell>
        </row>
        <row r="469">
          <cell r="A469">
            <v>2003</v>
          </cell>
          <cell r="B469">
            <v>3</v>
          </cell>
          <cell r="C469">
            <v>1</v>
          </cell>
          <cell r="D469">
            <v>0</v>
          </cell>
          <cell r="E469">
            <v>2</v>
          </cell>
          <cell r="F469" t="str">
            <v>USD</v>
          </cell>
          <cell r="G469">
            <v>0</v>
          </cell>
          <cell r="H469">
            <v>3395</v>
          </cell>
          <cell r="I469">
            <v>37</v>
          </cell>
          <cell r="J469" t="str">
            <v>ГСБ "Амонатбанк"</v>
          </cell>
          <cell r="K469">
            <v>0</v>
          </cell>
          <cell r="L469">
            <v>3385.1116504854367</v>
          </cell>
          <cell r="M469">
            <v>0.9970873786407767</v>
          </cell>
          <cell r="N469">
            <v>0</v>
          </cell>
        </row>
        <row r="470">
          <cell r="A470">
            <v>2003</v>
          </cell>
          <cell r="B470">
            <v>3</v>
          </cell>
          <cell r="C470">
            <v>1</v>
          </cell>
          <cell r="D470">
            <v>0</v>
          </cell>
          <cell r="E470">
            <v>2</v>
          </cell>
          <cell r="F470" t="str">
            <v>RUR</v>
          </cell>
          <cell r="G470">
            <v>0</v>
          </cell>
          <cell r="H470">
            <v>163</v>
          </cell>
          <cell r="I470">
            <v>12</v>
          </cell>
          <cell r="J470" t="str">
            <v>ГСБ "Амонатбанк"</v>
          </cell>
          <cell r="K470">
            <v>0</v>
          </cell>
          <cell r="L470">
            <v>157.3428374791073</v>
          </cell>
          <cell r="M470">
            <v>0.9652934814669158</v>
          </cell>
          <cell r="N470">
            <v>0</v>
          </cell>
        </row>
        <row r="471">
          <cell r="A471">
            <v>2003</v>
          </cell>
          <cell r="B471">
            <v>3</v>
          </cell>
          <cell r="C471">
            <v>2</v>
          </cell>
          <cell r="D471">
            <v>90</v>
          </cell>
          <cell r="E471">
            <v>2</v>
          </cell>
          <cell r="F471" t="str">
            <v>USD</v>
          </cell>
          <cell r="G471">
            <v>6</v>
          </cell>
          <cell r="H471">
            <v>302</v>
          </cell>
          <cell r="I471">
            <v>6</v>
          </cell>
          <cell r="J471" t="str">
            <v>ГСБ "Амонатбанк"</v>
          </cell>
          <cell r="K471">
            <v>1812</v>
          </cell>
          <cell r="L471">
            <v>301.12038834951454</v>
          </cell>
          <cell r="M471">
            <v>0.9970873786407767</v>
          </cell>
          <cell r="N471">
            <v>1806.7223300970873</v>
          </cell>
        </row>
        <row r="472">
          <cell r="A472">
            <v>2003</v>
          </cell>
          <cell r="B472">
            <v>3</v>
          </cell>
          <cell r="C472">
            <v>2</v>
          </cell>
          <cell r="D472">
            <v>180</v>
          </cell>
          <cell r="E472">
            <v>2</v>
          </cell>
          <cell r="F472" t="str">
            <v>USD</v>
          </cell>
          <cell r="G472">
            <v>7</v>
          </cell>
          <cell r="H472">
            <v>90</v>
          </cell>
          <cell r="I472">
            <v>3</v>
          </cell>
          <cell r="J472" t="str">
            <v>ГСБ "Амонатбанк"</v>
          </cell>
          <cell r="K472">
            <v>630</v>
          </cell>
          <cell r="L472">
            <v>89.7378640776699</v>
          </cell>
          <cell r="M472">
            <v>0.9970873786407767</v>
          </cell>
          <cell r="N472">
            <v>628.1650485436893</v>
          </cell>
        </row>
        <row r="473">
          <cell r="A473">
            <v>2003</v>
          </cell>
          <cell r="B473">
            <v>3</v>
          </cell>
          <cell r="C473">
            <v>2</v>
          </cell>
          <cell r="D473">
            <v>360</v>
          </cell>
          <cell r="E473">
            <v>2</v>
          </cell>
          <cell r="F473" t="str">
            <v>USD</v>
          </cell>
          <cell r="G473">
            <v>12</v>
          </cell>
          <cell r="H473">
            <v>25596</v>
          </cell>
          <cell r="I473">
            <v>19</v>
          </cell>
          <cell r="J473" t="str">
            <v>ГСБ "Амонатбанк"</v>
          </cell>
          <cell r="K473">
            <v>307152</v>
          </cell>
          <cell r="L473">
            <v>25521.44854368932</v>
          </cell>
          <cell r="M473">
            <v>0.9970873786407767</v>
          </cell>
          <cell r="N473">
            <v>306257.38252427184</v>
          </cell>
        </row>
        <row r="474">
          <cell r="A474">
            <v>2003</v>
          </cell>
          <cell r="B474">
            <v>3</v>
          </cell>
          <cell r="C474">
            <v>2</v>
          </cell>
          <cell r="D474">
            <v>1080</v>
          </cell>
          <cell r="E474">
            <v>2</v>
          </cell>
          <cell r="F474" t="str">
            <v>USD</v>
          </cell>
          <cell r="G474">
            <v>15</v>
          </cell>
          <cell r="H474">
            <v>12471</v>
          </cell>
          <cell r="I474">
            <v>22</v>
          </cell>
          <cell r="J474" t="str">
            <v>ГСБ "Амонатбанк"</v>
          </cell>
          <cell r="K474">
            <v>187065</v>
          </cell>
          <cell r="L474">
            <v>12434.676699029125</v>
          </cell>
          <cell r="M474">
            <v>0.9970873786407767</v>
          </cell>
          <cell r="N474">
            <v>186520.1504854369</v>
          </cell>
        </row>
        <row r="475">
          <cell r="A475">
            <v>2003</v>
          </cell>
          <cell r="B475">
            <v>3</v>
          </cell>
          <cell r="C475">
            <v>1</v>
          </cell>
          <cell r="D475">
            <v>0</v>
          </cell>
          <cell r="E475">
            <v>1</v>
          </cell>
          <cell r="F475" t="str">
            <v>EURO</v>
          </cell>
          <cell r="G475">
            <v>0</v>
          </cell>
          <cell r="H475">
            <v>811</v>
          </cell>
          <cell r="I475">
            <v>3</v>
          </cell>
          <cell r="J475" t="str">
            <v>ГСБ "Амонатбанк"</v>
          </cell>
          <cell r="K475">
            <v>0</v>
          </cell>
          <cell r="L475">
            <v>744.3035475978648</v>
          </cell>
          <cell r="M475">
            <v>0.917760231316726</v>
          </cell>
          <cell r="N475">
            <v>0</v>
          </cell>
        </row>
        <row r="476">
          <cell r="A476">
            <v>2003</v>
          </cell>
          <cell r="B476">
            <v>3</v>
          </cell>
          <cell r="C476">
            <v>1</v>
          </cell>
          <cell r="D476">
            <v>0</v>
          </cell>
          <cell r="E476">
            <v>1</v>
          </cell>
          <cell r="F476" t="str">
            <v>TJS</v>
          </cell>
          <cell r="G476">
            <v>0</v>
          </cell>
          <cell r="H476">
            <v>100355</v>
          </cell>
          <cell r="I476">
            <v>12</v>
          </cell>
          <cell r="J476" t="str">
            <v>КТОО "Фонон"</v>
          </cell>
          <cell r="K476">
            <v>0</v>
          </cell>
          <cell r="L476">
            <v>100355</v>
          </cell>
          <cell r="M476">
            <v>1</v>
          </cell>
          <cell r="N476">
            <v>0</v>
          </cell>
        </row>
        <row r="477">
          <cell r="A477">
            <v>2003</v>
          </cell>
          <cell r="B477">
            <v>3</v>
          </cell>
          <cell r="C477">
            <v>1</v>
          </cell>
          <cell r="D477">
            <v>0</v>
          </cell>
          <cell r="E477">
            <v>2</v>
          </cell>
          <cell r="F477" t="str">
            <v>TJS</v>
          </cell>
          <cell r="G477">
            <v>0</v>
          </cell>
          <cell r="H477">
            <v>6494</v>
          </cell>
          <cell r="I477">
            <v>2</v>
          </cell>
          <cell r="J477" t="str">
            <v>КТОО "Фонон"</v>
          </cell>
          <cell r="K477">
            <v>0</v>
          </cell>
          <cell r="L477">
            <v>6494</v>
          </cell>
          <cell r="M477">
            <v>1</v>
          </cell>
          <cell r="N477">
            <v>0</v>
          </cell>
        </row>
        <row r="478">
          <cell r="A478">
            <v>2003</v>
          </cell>
          <cell r="B478">
            <v>3</v>
          </cell>
          <cell r="C478">
            <v>1</v>
          </cell>
          <cell r="D478">
            <v>0</v>
          </cell>
          <cell r="E478">
            <v>1</v>
          </cell>
          <cell r="F478" t="str">
            <v>TJS</v>
          </cell>
          <cell r="G478">
            <v>0</v>
          </cell>
          <cell r="H478">
            <v>302777</v>
          </cell>
          <cell r="I478">
            <v>15</v>
          </cell>
          <cell r="J478" t="str">
            <v>СТК "Центрально-Азиатский банк"</v>
          </cell>
          <cell r="K478">
            <v>0</v>
          </cell>
          <cell r="L478">
            <v>302777</v>
          </cell>
          <cell r="M478">
            <v>1</v>
          </cell>
          <cell r="N478">
            <v>0</v>
          </cell>
        </row>
        <row r="479">
          <cell r="A479">
            <v>2003</v>
          </cell>
          <cell r="B479">
            <v>3</v>
          </cell>
          <cell r="C479">
            <v>2</v>
          </cell>
          <cell r="D479">
            <v>90</v>
          </cell>
          <cell r="E479">
            <v>1</v>
          </cell>
          <cell r="F479" t="str">
            <v>TJS</v>
          </cell>
          <cell r="G479">
            <v>6</v>
          </cell>
          <cell r="H479">
            <v>157</v>
          </cell>
          <cell r="I479">
            <v>1</v>
          </cell>
          <cell r="J479" t="str">
            <v>СТК "Центрально-Азиатский банк"</v>
          </cell>
          <cell r="K479">
            <v>942</v>
          </cell>
          <cell r="L479">
            <v>157</v>
          </cell>
          <cell r="M479">
            <v>1</v>
          </cell>
          <cell r="N479">
            <v>942</v>
          </cell>
        </row>
        <row r="480">
          <cell r="A480">
            <v>2003</v>
          </cell>
          <cell r="B480">
            <v>3</v>
          </cell>
          <cell r="C480">
            <v>1</v>
          </cell>
          <cell r="D480">
            <v>0</v>
          </cell>
          <cell r="E480">
            <v>1</v>
          </cell>
          <cell r="F480" t="str">
            <v>USD</v>
          </cell>
          <cell r="G480">
            <v>0</v>
          </cell>
          <cell r="H480">
            <v>262012</v>
          </cell>
          <cell r="I480">
            <v>6</v>
          </cell>
          <cell r="J480" t="str">
            <v>СТК "Центрально-Азиатский банк"</v>
          </cell>
          <cell r="K480">
            <v>0</v>
          </cell>
          <cell r="L480">
            <v>261248.8582524272</v>
          </cell>
          <cell r="M480">
            <v>0.9970873786407767</v>
          </cell>
          <cell r="N480">
            <v>0</v>
          </cell>
        </row>
        <row r="481">
          <cell r="A481">
            <v>2003</v>
          </cell>
          <cell r="B481">
            <v>3</v>
          </cell>
          <cell r="C481">
            <v>2</v>
          </cell>
          <cell r="D481">
            <v>360</v>
          </cell>
          <cell r="E481">
            <v>2</v>
          </cell>
          <cell r="F481" t="str">
            <v>USD</v>
          </cell>
          <cell r="G481">
            <v>20</v>
          </cell>
          <cell r="H481">
            <v>1561</v>
          </cell>
          <cell r="I481">
            <v>2</v>
          </cell>
          <cell r="J481" t="str">
            <v>СТК "Центрально-Азиатский банк"</v>
          </cell>
          <cell r="K481">
            <v>31220</v>
          </cell>
          <cell r="L481">
            <v>1556.4533980582523</v>
          </cell>
          <cell r="M481">
            <v>0.9970873786407767</v>
          </cell>
          <cell r="N481">
            <v>31129.06796116505</v>
          </cell>
        </row>
        <row r="482">
          <cell r="A482">
            <v>2003</v>
          </cell>
          <cell r="B482">
            <v>3</v>
          </cell>
          <cell r="C482">
            <v>1</v>
          </cell>
          <cell r="D482">
            <v>0</v>
          </cell>
          <cell r="E482">
            <v>1</v>
          </cell>
          <cell r="F482" t="str">
            <v>TJS</v>
          </cell>
          <cell r="G482">
            <v>0</v>
          </cell>
          <cell r="H482">
            <v>11782389</v>
          </cell>
          <cell r="I482">
            <v>52</v>
          </cell>
          <cell r="J482" t="str">
            <v>ТАК ПБРР "Таджпромбанк"</v>
          </cell>
          <cell r="K482">
            <v>0</v>
          </cell>
          <cell r="L482">
            <v>11782389</v>
          </cell>
          <cell r="M482">
            <v>1</v>
          </cell>
          <cell r="N482">
            <v>0</v>
          </cell>
        </row>
        <row r="483">
          <cell r="A483">
            <v>2003</v>
          </cell>
          <cell r="B483">
            <v>3</v>
          </cell>
          <cell r="C483">
            <v>1</v>
          </cell>
          <cell r="D483">
            <v>0</v>
          </cell>
          <cell r="E483">
            <v>2</v>
          </cell>
          <cell r="F483" t="str">
            <v>TJS</v>
          </cell>
          <cell r="G483">
            <v>0</v>
          </cell>
          <cell r="H483">
            <v>481493</v>
          </cell>
          <cell r="I483">
            <v>7</v>
          </cell>
          <cell r="J483" t="str">
            <v>ТАК ПБРР "Таджпромбанк"</v>
          </cell>
          <cell r="K483">
            <v>0</v>
          </cell>
          <cell r="L483">
            <v>481493</v>
          </cell>
          <cell r="M483">
            <v>1</v>
          </cell>
          <cell r="N483">
            <v>0</v>
          </cell>
        </row>
        <row r="484">
          <cell r="A484">
            <v>2003</v>
          </cell>
          <cell r="B484">
            <v>3</v>
          </cell>
          <cell r="C484">
            <v>3</v>
          </cell>
          <cell r="D484">
            <v>720</v>
          </cell>
          <cell r="E484">
            <v>2</v>
          </cell>
          <cell r="F484" t="str">
            <v>TJS</v>
          </cell>
          <cell r="G484">
            <v>20</v>
          </cell>
          <cell r="H484">
            <v>46</v>
          </cell>
          <cell r="I484">
            <v>1</v>
          </cell>
          <cell r="J484" t="str">
            <v>ТАК ПБРР "Таджпромбанк"</v>
          </cell>
          <cell r="K484">
            <v>920</v>
          </cell>
          <cell r="L484">
            <v>46</v>
          </cell>
          <cell r="M484">
            <v>1</v>
          </cell>
          <cell r="N484">
            <v>920</v>
          </cell>
        </row>
        <row r="485">
          <cell r="A485">
            <v>2003</v>
          </cell>
          <cell r="B485">
            <v>3</v>
          </cell>
          <cell r="C485">
            <v>3</v>
          </cell>
          <cell r="D485">
            <v>30</v>
          </cell>
          <cell r="E485">
            <v>2</v>
          </cell>
          <cell r="F485" t="str">
            <v>TJS</v>
          </cell>
          <cell r="G485">
            <v>0</v>
          </cell>
          <cell r="H485">
            <v>1280</v>
          </cell>
          <cell r="I485">
            <v>1</v>
          </cell>
          <cell r="J485" t="str">
            <v>ТАК ПБРР "Таджпромбанк"</v>
          </cell>
          <cell r="K485">
            <v>0</v>
          </cell>
          <cell r="L485">
            <v>1280</v>
          </cell>
          <cell r="M485">
            <v>1</v>
          </cell>
          <cell r="N485">
            <v>0</v>
          </cell>
        </row>
        <row r="486">
          <cell r="A486">
            <v>2003</v>
          </cell>
          <cell r="B486">
            <v>3</v>
          </cell>
          <cell r="C486">
            <v>2</v>
          </cell>
          <cell r="D486">
            <v>30</v>
          </cell>
          <cell r="E486">
            <v>2</v>
          </cell>
          <cell r="F486" t="str">
            <v>TJS</v>
          </cell>
          <cell r="G486">
            <v>0</v>
          </cell>
          <cell r="H486">
            <v>94</v>
          </cell>
          <cell r="I486">
            <v>1</v>
          </cell>
          <cell r="J486" t="str">
            <v>ТАК ПБРР "Таджпромбанк"</v>
          </cell>
          <cell r="K486">
            <v>0</v>
          </cell>
          <cell r="L486">
            <v>94</v>
          </cell>
          <cell r="M486">
            <v>1</v>
          </cell>
          <cell r="N486">
            <v>0</v>
          </cell>
        </row>
        <row r="487">
          <cell r="A487">
            <v>2003</v>
          </cell>
          <cell r="B487">
            <v>3</v>
          </cell>
          <cell r="C487">
            <v>1</v>
          </cell>
          <cell r="D487">
            <v>0</v>
          </cell>
          <cell r="E487">
            <v>1</v>
          </cell>
          <cell r="F487" t="str">
            <v>USD</v>
          </cell>
          <cell r="G487">
            <v>0</v>
          </cell>
          <cell r="H487">
            <v>18838817</v>
          </cell>
          <cell r="I487">
            <v>14</v>
          </cell>
          <cell r="J487" t="str">
            <v>ТАК ПБРР "Таджпромбанк"</v>
          </cell>
          <cell r="K487">
            <v>0</v>
          </cell>
          <cell r="L487">
            <v>18783946.6592233</v>
          </cell>
          <cell r="M487">
            <v>0.9970873786407767</v>
          </cell>
          <cell r="N487">
            <v>0</v>
          </cell>
        </row>
        <row r="488">
          <cell r="A488">
            <v>2003</v>
          </cell>
          <cell r="B488">
            <v>3</v>
          </cell>
          <cell r="C488">
            <v>1</v>
          </cell>
          <cell r="D488">
            <v>0</v>
          </cell>
          <cell r="E488">
            <v>2</v>
          </cell>
          <cell r="F488" t="str">
            <v>USD</v>
          </cell>
          <cell r="G488">
            <v>16</v>
          </cell>
          <cell r="H488">
            <v>2460</v>
          </cell>
          <cell r="I488">
            <v>1</v>
          </cell>
          <cell r="J488" t="str">
            <v>ТАК ПБРР "Таджпромбанк"</v>
          </cell>
          <cell r="K488">
            <v>39360</v>
          </cell>
          <cell r="L488">
            <v>2452.8349514563106</v>
          </cell>
          <cell r="M488">
            <v>0.9970873786407767</v>
          </cell>
          <cell r="N488">
            <v>39245.35922330097</v>
          </cell>
        </row>
        <row r="489">
          <cell r="A489">
            <v>2003</v>
          </cell>
          <cell r="B489">
            <v>3</v>
          </cell>
          <cell r="C489">
            <v>1</v>
          </cell>
          <cell r="D489">
            <v>0</v>
          </cell>
          <cell r="E489">
            <v>2</v>
          </cell>
          <cell r="F489" t="str">
            <v>USD</v>
          </cell>
          <cell r="G489">
            <v>0</v>
          </cell>
          <cell r="H489">
            <v>1022660</v>
          </cell>
          <cell r="I489">
            <v>1</v>
          </cell>
          <cell r="J489" t="str">
            <v>ТАК ПБРР "Таджпромбанк"</v>
          </cell>
          <cell r="K489">
            <v>0</v>
          </cell>
          <cell r="L489">
            <v>1019681.3786407767</v>
          </cell>
          <cell r="M489">
            <v>0.9970873786407767</v>
          </cell>
          <cell r="N489">
            <v>0</v>
          </cell>
        </row>
        <row r="490">
          <cell r="A490">
            <v>2003</v>
          </cell>
          <cell r="B490">
            <v>3</v>
          </cell>
          <cell r="C490">
            <v>2</v>
          </cell>
          <cell r="D490">
            <v>180</v>
          </cell>
          <cell r="E490">
            <v>2</v>
          </cell>
          <cell r="F490" t="str">
            <v>USD</v>
          </cell>
          <cell r="G490">
            <v>15</v>
          </cell>
          <cell r="H490">
            <v>3081</v>
          </cell>
          <cell r="I490">
            <v>1</v>
          </cell>
          <cell r="J490" t="str">
            <v>ТАК ПБРР "Таджпромбанк"</v>
          </cell>
          <cell r="K490">
            <v>46215</v>
          </cell>
          <cell r="L490">
            <v>3072.026213592233</v>
          </cell>
          <cell r="M490">
            <v>0.9970873786407767</v>
          </cell>
          <cell r="N490">
            <v>46080.3932038835</v>
          </cell>
        </row>
        <row r="491">
          <cell r="A491">
            <v>2003</v>
          </cell>
          <cell r="B491">
            <v>3</v>
          </cell>
          <cell r="C491">
            <v>2</v>
          </cell>
          <cell r="D491">
            <v>180</v>
          </cell>
          <cell r="E491">
            <v>2</v>
          </cell>
          <cell r="F491" t="str">
            <v>USD</v>
          </cell>
          <cell r="G491">
            <v>18</v>
          </cell>
          <cell r="H491">
            <v>7703</v>
          </cell>
          <cell r="I491">
            <v>2</v>
          </cell>
          <cell r="J491" t="str">
            <v>ТАК ПБРР "Таджпромбанк"</v>
          </cell>
          <cell r="K491">
            <v>138654</v>
          </cell>
          <cell r="L491">
            <v>7680.564077669903</v>
          </cell>
          <cell r="M491">
            <v>0.9970873786407767</v>
          </cell>
          <cell r="N491">
            <v>138250.15339805826</v>
          </cell>
        </row>
        <row r="492">
          <cell r="A492">
            <v>2003</v>
          </cell>
          <cell r="B492">
            <v>3</v>
          </cell>
          <cell r="C492">
            <v>2</v>
          </cell>
          <cell r="D492">
            <v>210</v>
          </cell>
          <cell r="E492">
            <v>2</v>
          </cell>
          <cell r="F492" t="str">
            <v>USD</v>
          </cell>
          <cell r="G492">
            <v>18</v>
          </cell>
          <cell r="H492">
            <v>6443</v>
          </cell>
          <cell r="I492">
            <v>1</v>
          </cell>
          <cell r="J492" t="str">
            <v>ТАК ПБРР "Таджпромбанк"</v>
          </cell>
          <cell r="K492">
            <v>115974</v>
          </cell>
          <cell r="L492">
            <v>6424.233980582524</v>
          </cell>
          <cell r="M492">
            <v>0.9970873786407767</v>
          </cell>
          <cell r="N492">
            <v>115636.21165048543</v>
          </cell>
        </row>
        <row r="493">
          <cell r="A493">
            <v>2003</v>
          </cell>
          <cell r="B493">
            <v>3</v>
          </cell>
          <cell r="C493">
            <v>2</v>
          </cell>
          <cell r="D493">
            <v>720</v>
          </cell>
          <cell r="E493">
            <v>2</v>
          </cell>
          <cell r="F493" t="str">
            <v>USD</v>
          </cell>
          <cell r="G493">
            <v>18</v>
          </cell>
          <cell r="H493">
            <v>510</v>
          </cell>
          <cell r="I493">
            <v>1</v>
          </cell>
          <cell r="J493" t="str">
            <v>ТАК ПБРР "Таджпромбанк"</v>
          </cell>
          <cell r="K493">
            <v>9180</v>
          </cell>
          <cell r="L493">
            <v>508.5145631067961</v>
          </cell>
          <cell r="M493">
            <v>0.9970873786407767</v>
          </cell>
          <cell r="N493">
            <v>9153.26213592233</v>
          </cell>
        </row>
        <row r="494">
          <cell r="A494">
            <v>2003</v>
          </cell>
          <cell r="B494">
            <v>3</v>
          </cell>
          <cell r="C494">
            <v>1</v>
          </cell>
          <cell r="D494">
            <v>0</v>
          </cell>
          <cell r="E494">
            <v>0</v>
          </cell>
          <cell r="F494" t="str">
            <v>USD</v>
          </cell>
          <cell r="G494">
            <v>0</v>
          </cell>
          <cell r="H494">
            <v>317678</v>
          </cell>
          <cell r="I494">
            <v>5</v>
          </cell>
          <cell r="J494" t="str">
            <v>ТАК ПСБ "Ориёнбанк"</v>
          </cell>
          <cell r="K494">
            <v>0</v>
          </cell>
          <cell r="L494">
            <v>316752.72427184467</v>
          </cell>
          <cell r="M494">
            <v>0.9970873786407767</v>
          </cell>
          <cell r="N494">
            <v>0</v>
          </cell>
        </row>
        <row r="495">
          <cell r="A495">
            <v>2003</v>
          </cell>
          <cell r="B495">
            <v>3</v>
          </cell>
          <cell r="C495">
            <v>1</v>
          </cell>
          <cell r="D495">
            <v>0</v>
          </cell>
          <cell r="E495">
            <v>1</v>
          </cell>
          <cell r="F495" t="str">
            <v>RUR</v>
          </cell>
          <cell r="G495">
            <v>0</v>
          </cell>
          <cell r="H495">
            <v>3068696</v>
          </cell>
          <cell r="I495">
            <v>75</v>
          </cell>
          <cell r="J495" t="str">
            <v>ТАК ПСБ "Ориёнбанк"</v>
          </cell>
          <cell r="K495">
            <v>0</v>
          </cell>
          <cell r="L495">
            <v>2962192.245403599</v>
          </cell>
          <cell r="M495">
            <v>0.9652934814669158</v>
          </cell>
          <cell r="N495">
            <v>0</v>
          </cell>
        </row>
        <row r="496">
          <cell r="A496">
            <v>2003</v>
          </cell>
          <cell r="B496">
            <v>3</v>
          </cell>
          <cell r="C496">
            <v>1</v>
          </cell>
          <cell r="D496">
            <v>0</v>
          </cell>
          <cell r="E496">
            <v>1</v>
          </cell>
          <cell r="F496" t="str">
            <v>TJS</v>
          </cell>
          <cell r="G496">
            <v>0</v>
          </cell>
          <cell r="H496">
            <v>43429568</v>
          </cell>
          <cell r="I496">
            <v>5551</v>
          </cell>
          <cell r="J496" t="str">
            <v>ТАК ПСБ "Ориёнбанк"</v>
          </cell>
          <cell r="K496">
            <v>0</v>
          </cell>
          <cell r="L496">
            <v>43429568</v>
          </cell>
          <cell r="M496">
            <v>1</v>
          </cell>
          <cell r="N496">
            <v>0</v>
          </cell>
        </row>
        <row r="497">
          <cell r="A497">
            <v>2003</v>
          </cell>
          <cell r="B497">
            <v>3</v>
          </cell>
          <cell r="C497">
            <v>1</v>
          </cell>
          <cell r="D497">
            <v>0</v>
          </cell>
          <cell r="E497">
            <v>1</v>
          </cell>
          <cell r="F497" t="str">
            <v>TJS</v>
          </cell>
          <cell r="G497">
            <v>0.5</v>
          </cell>
          <cell r="H497">
            <v>28457491</v>
          </cell>
          <cell r="I497">
            <v>1444</v>
          </cell>
          <cell r="J497" t="str">
            <v>ТАК ПСБ "Ориёнбанк"</v>
          </cell>
          <cell r="K497">
            <v>14228745.5</v>
          </cell>
          <cell r="L497">
            <v>28457491</v>
          </cell>
          <cell r="M497">
            <v>1</v>
          </cell>
          <cell r="N497">
            <v>14228745.5</v>
          </cell>
        </row>
        <row r="498">
          <cell r="A498">
            <v>2003</v>
          </cell>
          <cell r="B498">
            <v>3</v>
          </cell>
          <cell r="C498">
            <v>1</v>
          </cell>
          <cell r="D498">
            <v>0</v>
          </cell>
          <cell r="E498">
            <v>1</v>
          </cell>
          <cell r="F498" t="str">
            <v>USD</v>
          </cell>
          <cell r="G498">
            <v>0</v>
          </cell>
          <cell r="H498">
            <v>20607137</v>
          </cell>
          <cell r="I498">
            <v>391</v>
          </cell>
          <cell r="J498" t="str">
            <v>ТАК ПСБ "Ориёнбанк"</v>
          </cell>
          <cell r="K498">
            <v>0</v>
          </cell>
          <cell r="L498">
            <v>20547116.212621357</v>
          </cell>
          <cell r="M498">
            <v>0.9970873786407767</v>
          </cell>
          <cell r="N498">
            <v>0</v>
          </cell>
        </row>
        <row r="499">
          <cell r="A499">
            <v>2003</v>
          </cell>
          <cell r="B499">
            <v>3</v>
          </cell>
          <cell r="C499">
            <v>1</v>
          </cell>
          <cell r="D499">
            <v>0</v>
          </cell>
          <cell r="E499">
            <v>2</v>
          </cell>
          <cell r="F499" t="str">
            <v>USD</v>
          </cell>
          <cell r="G499">
            <v>0</v>
          </cell>
          <cell r="H499">
            <v>78533</v>
          </cell>
          <cell r="I499">
            <v>5</v>
          </cell>
          <cell r="J499" t="str">
            <v>ТАК ПСБ "Ориёнбанк"</v>
          </cell>
          <cell r="K499">
            <v>0</v>
          </cell>
          <cell r="L499">
            <v>78304.26310679612</v>
          </cell>
          <cell r="M499">
            <v>0.9970873786407767</v>
          </cell>
          <cell r="N499">
            <v>0</v>
          </cell>
        </row>
        <row r="500">
          <cell r="A500">
            <v>2003</v>
          </cell>
          <cell r="B500">
            <v>3</v>
          </cell>
          <cell r="C500">
            <v>2</v>
          </cell>
          <cell r="D500">
            <v>180</v>
          </cell>
          <cell r="E500">
            <v>1</v>
          </cell>
          <cell r="F500" t="str">
            <v>TJS</v>
          </cell>
          <cell r="G500">
            <v>12</v>
          </cell>
          <cell r="H500">
            <v>300</v>
          </cell>
          <cell r="I500">
            <v>1</v>
          </cell>
          <cell r="J500" t="str">
            <v>ТАК ПСБ "Ориёнбанк"</v>
          </cell>
          <cell r="K500">
            <v>3600</v>
          </cell>
          <cell r="L500">
            <v>300</v>
          </cell>
          <cell r="M500">
            <v>1</v>
          </cell>
          <cell r="N500">
            <v>3600</v>
          </cell>
        </row>
        <row r="501">
          <cell r="A501">
            <v>2003</v>
          </cell>
          <cell r="B501">
            <v>3</v>
          </cell>
          <cell r="C501">
            <v>2</v>
          </cell>
          <cell r="D501">
            <v>180</v>
          </cell>
          <cell r="E501">
            <v>1</v>
          </cell>
          <cell r="F501" t="str">
            <v>TJS</v>
          </cell>
          <cell r="G501">
            <v>17</v>
          </cell>
          <cell r="H501">
            <v>4000</v>
          </cell>
          <cell r="I501">
            <v>1</v>
          </cell>
          <cell r="J501" t="str">
            <v>ТАК ПСБ "Ориёнбанк"</v>
          </cell>
          <cell r="K501">
            <v>68000</v>
          </cell>
          <cell r="L501">
            <v>4000</v>
          </cell>
          <cell r="M501">
            <v>1</v>
          </cell>
          <cell r="N501">
            <v>68000</v>
          </cell>
        </row>
        <row r="502">
          <cell r="A502">
            <v>2003</v>
          </cell>
          <cell r="B502">
            <v>3</v>
          </cell>
          <cell r="C502">
            <v>2</v>
          </cell>
          <cell r="D502">
            <v>180</v>
          </cell>
          <cell r="E502">
            <v>2</v>
          </cell>
          <cell r="F502" t="str">
            <v>TJS</v>
          </cell>
          <cell r="G502">
            <v>15</v>
          </cell>
          <cell r="H502">
            <v>200</v>
          </cell>
          <cell r="I502">
            <v>1</v>
          </cell>
          <cell r="J502" t="str">
            <v>ТАК ПСБ "Ориёнбанк"</v>
          </cell>
          <cell r="K502">
            <v>3000</v>
          </cell>
          <cell r="L502">
            <v>200</v>
          </cell>
          <cell r="M502">
            <v>1</v>
          </cell>
          <cell r="N502">
            <v>3000</v>
          </cell>
        </row>
        <row r="503">
          <cell r="A503">
            <v>2003</v>
          </cell>
          <cell r="B503">
            <v>3</v>
          </cell>
          <cell r="C503">
            <v>2</v>
          </cell>
          <cell r="D503">
            <v>360</v>
          </cell>
          <cell r="E503">
            <v>1</v>
          </cell>
          <cell r="F503" t="str">
            <v>TJS</v>
          </cell>
          <cell r="G503">
            <v>12</v>
          </cell>
          <cell r="H503">
            <v>12500</v>
          </cell>
          <cell r="I503">
            <v>1</v>
          </cell>
          <cell r="J503" t="str">
            <v>ТАК ПСБ "Ориёнбанк"</v>
          </cell>
          <cell r="K503">
            <v>150000</v>
          </cell>
          <cell r="L503">
            <v>12500</v>
          </cell>
          <cell r="M503">
            <v>1</v>
          </cell>
          <cell r="N503">
            <v>150000</v>
          </cell>
        </row>
        <row r="504">
          <cell r="A504">
            <v>2003</v>
          </cell>
          <cell r="B504">
            <v>3</v>
          </cell>
          <cell r="C504">
            <v>2</v>
          </cell>
          <cell r="D504">
            <v>360</v>
          </cell>
          <cell r="E504">
            <v>2</v>
          </cell>
          <cell r="F504" t="str">
            <v>TJS</v>
          </cell>
          <cell r="G504">
            <v>20</v>
          </cell>
          <cell r="H504">
            <v>4068</v>
          </cell>
          <cell r="I504">
            <v>3</v>
          </cell>
          <cell r="J504" t="str">
            <v>ТАК ПСБ "Ориёнбанк"</v>
          </cell>
          <cell r="K504">
            <v>81360</v>
          </cell>
          <cell r="L504">
            <v>4068</v>
          </cell>
          <cell r="M504">
            <v>1</v>
          </cell>
          <cell r="N504">
            <v>81360</v>
          </cell>
        </row>
        <row r="505">
          <cell r="A505">
            <v>2003</v>
          </cell>
          <cell r="B505">
            <v>3</v>
          </cell>
          <cell r="C505">
            <v>2</v>
          </cell>
          <cell r="D505">
            <v>360</v>
          </cell>
          <cell r="E505">
            <v>2</v>
          </cell>
          <cell r="F505" t="str">
            <v>TJS</v>
          </cell>
          <cell r="G505">
            <v>25</v>
          </cell>
          <cell r="H505">
            <v>3652</v>
          </cell>
          <cell r="I505">
            <v>4</v>
          </cell>
          <cell r="J505" t="str">
            <v>ТАК ПСБ "Ориёнбанк"</v>
          </cell>
          <cell r="K505">
            <v>91300</v>
          </cell>
          <cell r="L505">
            <v>3652</v>
          </cell>
          <cell r="M505">
            <v>1</v>
          </cell>
          <cell r="N505">
            <v>91300</v>
          </cell>
        </row>
        <row r="506">
          <cell r="A506">
            <v>2003</v>
          </cell>
          <cell r="B506">
            <v>3</v>
          </cell>
          <cell r="C506">
            <v>2</v>
          </cell>
          <cell r="D506">
            <v>420</v>
          </cell>
          <cell r="E506">
            <v>2</v>
          </cell>
          <cell r="F506" t="str">
            <v>TJS</v>
          </cell>
          <cell r="G506">
            <v>25</v>
          </cell>
          <cell r="H506">
            <v>48</v>
          </cell>
          <cell r="I506">
            <v>1</v>
          </cell>
          <cell r="J506" t="str">
            <v>ТАК ПСБ "Ориёнбанк"</v>
          </cell>
          <cell r="K506">
            <v>1200</v>
          </cell>
          <cell r="L506">
            <v>48</v>
          </cell>
          <cell r="M506">
            <v>1</v>
          </cell>
          <cell r="N506">
            <v>1200</v>
          </cell>
        </row>
        <row r="507">
          <cell r="A507">
            <v>2003</v>
          </cell>
          <cell r="B507">
            <v>3</v>
          </cell>
          <cell r="C507">
            <v>2</v>
          </cell>
          <cell r="D507">
            <v>510</v>
          </cell>
          <cell r="E507">
            <v>2</v>
          </cell>
          <cell r="F507" t="str">
            <v>TJS</v>
          </cell>
          <cell r="G507">
            <v>25</v>
          </cell>
          <cell r="H507">
            <v>2300</v>
          </cell>
          <cell r="I507">
            <v>1</v>
          </cell>
          <cell r="J507" t="str">
            <v>ТАК ПСБ "Ориёнбанк"</v>
          </cell>
          <cell r="K507">
            <v>57500</v>
          </cell>
          <cell r="L507">
            <v>2300</v>
          </cell>
          <cell r="M507">
            <v>1</v>
          </cell>
          <cell r="N507">
            <v>57500</v>
          </cell>
        </row>
        <row r="508">
          <cell r="A508">
            <v>2003</v>
          </cell>
          <cell r="B508">
            <v>3</v>
          </cell>
          <cell r="C508">
            <v>2</v>
          </cell>
          <cell r="D508">
            <v>730</v>
          </cell>
          <cell r="E508">
            <v>2</v>
          </cell>
          <cell r="F508" t="str">
            <v>USD</v>
          </cell>
          <cell r="G508">
            <v>18</v>
          </cell>
          <cell r="H508">
            <v>5882</v>
          </cell>
          <cell r="I508">
            <v>2</v>
          </cell>
          <cell r="J508" t="str">
            <v>ТАК ПСБ "Ориёнбанк"</v>
          </cell>
          <cell r="K508">
            <v>105876</v>
          </cell>
          <cell r="L508">
            <v>5864.867961165049</v>
          </cell>
          <cell r="M508">
            <v>0.9970873786407767</v>
          </cell>
          <cell r="N508">
            <v>105567.62330097087</v>
          </cell>
        </row>
        <row r="509">
          <cell r="A509">
            <v>2003</v>
          </cell>
          <cell r="B509">
            <v>3</v>
          </cell>
          <cell r="C509">
            <v>2</v>
          </cell>
          <cell r="D509">
            <v>1080</v>
          </cell>
          <cell r="E509">
            <v>2</v>
          </cell>
          <cell r="F509" t="str">
            <v>TJS</v>
          </cell>
          <cell r="G509">
            <v>30</v>
          </cell>
          <cell r="H509">
            <v>3462</v>
          </cell>
          <cell r="I509">
            <v>3</v>
          </cell>
          <cell r="J509" t="str">
            <v>ТАК ПСБ "Ориёнбанк"</v>
          </cell>
          <cell r="K509">
            <v>103860</v>
          </cell>
          <cell r="L509">
            <v>3462</v>
          </cell>
          <cell r="M509">
            <v>1</v>
          </cell>
          <cell r="N509">
            <v>103860</v>
          </cell>
        </row>
        <row r="510">
          <cell r="A510">
            <v>2003</v>
          </cell>
          <cell r="B510">
            <v>3</v>
          </cell>
          <cell r="C510">
            <v>2</v>
          </cell>
          <cell r="D510">
            <v>1081</v>
          </cell>
          <cell r="E510">
            <v>2</v>
          </cell>
          <cell r="F510" t="str">
            <v>TJS</v>
          </cell>
          <cell r="G510">
            <v>30</v>
          </cell>
          <cell r="H510">
            <v>10000</v>
          </cell>
          <cell r="I510">
            <v>1</v>
          </cell>
          <cell r="J510" t="str">
            <v>ТАК ПСБ "Ориёнбанк"</v>
          </cell>
          <cell r="K510">
            <v>300000</v>
          </cell>
          <cell r="L510">
            <v>10000</v>
          </cell>
          <cell r="M510">
            <v>1</v>
          </cell>
          <cell r="N510">
            <v>300000</v>
          </cell>
        </row>
        <row r="511">
          <cell r="A511">
            <v>2003</v>
          </cell>
          <cell r="B511">
            <v>3</v>
          </cell>
          <cell r="C511">
            <v>3</v>
          </cell>
          <cell r="D511">
            <v>0</v>
          </cell>
          <cell r="E511">
            <v>2</v>
          </cell>
          <cell r="F511" t="str">
            <v>USD</v>
          </cell>
          <cell r="G511">
            <v>5</v>
          </cell>
          <cell r="H511">
            <v>389000</v>
          </cell>
          <cell r="I511">
            <v>573</v>
          </cell>
          <cell r="J511" t="str">
            <v>ТАК ПСБ "Ориёнбанк"</v>
          </cell>
          <cell r="K511">
            <v>1945000</v>
          </cell>
          <cell r="L511">
            <v>387866.9902912621</v>
          </cell>
          <cell r="M511">
            <v>0.9970873786407767</v>
          </cell>
          <cell r="N511">
            <v>1939334.9514563107</v>
          </cell>
        </row>
        <row r="512">
          <cell r="A512">
            <v>2003</v>
          </cell>
          <cell r="B512">
            <v>3</v>
          </cell>
          <cell r="C512">
            <v>3</v>
          </cell>
          <cell r="D512">
            <v>0</v>
          </cell>
          <cell r="E512">
            <v>2</v>
          </cell>
          <cell r="F512" t="str">
            <v>USD</v>
          </cell>
          <cell r="G512">
            <v>0</v>
          </cell>
          <cell r="H512">
            <v>43979</v>
          </cell>
          <cell r="I512">
            <v>342</v>
          </cell>
          <cell r="J512" t="str">
            <v>ТАК ПСБ "Ориёнбанк"</v>
          </cell>
          <cell r="K512">
            <v>0</v>
          </cell>
          <cell r="L512">
            <v>43850.90582524272</v>
          </cell>
          <cell r="M512">
            <v>0.9970873786407767</v>
          </cell>
          <cell r="N512">
            <v>0</v>
          </cell>
        </row>
        <row r="513">
          <cell r="A513">
            <v>2003</v>
          </cell>
          <cell r="B513">
            <v>3</v>
          </cell>
          <cell r="C513">
            <v>1</v>
          </cell>
          <cell r="D513">
            <v>0</v>
          </cell>
          <cell r="E513">
            <v>1</v>
          </cell>
          <cell r="F513" t="str">
            <v>TJS</v>
          </cell>
          <cell r="G513">
            <v>0</v>
          </cell>
          <cell r="H513">
            <v>96252</v>
          </cell>
          <cell r="I513">
            <v>4</v>
          </cell>
          <cell r="J513" t="str">
            <v>КБ "Сомон-банк"</v>
          </cell>
          <cell r="K513">
            <v>0</v>
          </cell>
          <cell r="L513">
            <v>96252</v>
          </cell>
          <cell r="M513">
            <v>1</v>
          </cell>
          <cell r="N513">
            <v>0</v>
          </cell>
        </row>
        <row r="514">
          <cell r="A514">
            <v>2003</v>
          </cell>
          <cell r="B514">
            <v>3</v>
          </cell>
          <cell r="C514">
            <v>3</v>
          </cell>
          <cell r="D514">
            <v>90</v>
          </cell>
          <cell r="E514">
            <v>2</v>
          </cell>
          <cell r="F514" t="str">
            <v>TJS</v>
          </cell>
          <cell r="G514">
            <v>1</v>
          </cell>
          <cell r="H514">
            <v>605</v>
          </cell>
          <cell r="I514">
            <v>1</v>
          </cell>
          <cell r="J514" t="str">
            <v>КБ "Сомон-банк"</v>
          </cell>
          <cell r="K514">
            <v>605</v>
          </cell>
          <cell r="L514">
            <v>605</v>
          </cell>
          <cell r="M514">
            <v>1</v>
          </cell>
          <cell r="N514">
            <v>605</v>
          </cell>
        </row>
        <row r="515">
          <cell r="A515">
            <v>2003</v>
          </cell>
          <cell r="B515">
            <v>3</v>
          </cell>
          <cell r="C515">
            <v>2</v>
          </cell>
          <cell r="D515">
            <v>360</v>
          </cell>
          <cell r="E515">
            <v>2</v>
          </cell>
          <cell r="F515" t="str">
            <v>TJS</v>
          </cell>
          <cell r="G515">
            <v>28</v>
          </cell>
          <cell r="H515">
            <v>200</v>
          </cell>
          <cell r="I515">
            <v>1</v>
          </cell>
          <cell r="J515" t="str">
            <v>КБ "Сомон-банк"</v>
          </cell>
          <cell r="K515">
            <v>5600</v>
          </cell>
          <cell r="L515">
            <v>200</v>
          </cell>
          <cell r="M515">
            <v>1</v>
          </cell>
          <cell r="N515">
            <v>5600</v>
          </cell>
        </row>
        <row r="516">
          <cell r="A516">
            <v>2003</v>
          </cell>
          <cell r="B516">
            <v>3</v>
          </cell>
          <cell r="C516">
            <v>1</v>
          </cell>
          <cell r="D516">
            <v>0</v>
          </cell>
          <cell r="E516">
            <v>1</v>
          </cell>
          <cell r="F516" t="str">
            <v>TJS</v>
          </cell>
          <cell r="G516">
            <v>0</v>
          </cell>
          <cell r="H516">
            <v>2658188</v>
          </cell>
          <cell r="I516">
            <v>6</v>
          </cell>
          <cell r="J516" t="str">
            <v>СЛТ АКБ "Ист-Кредитбанк"</v>
          </cell>
          <cell r="K516">
            <v>0</v>
          </cell>
          <cell r="L516">
            <v>2658188</v>
          </cell>
          <cell r="M516">
            <v>1</v>
          </cell>
          <cell r="N516">
            <v>0</v>
          </cell>
        </row>
        <row r="517">
          <cell r="A517">
            <v>2003</v>
          </cell>
          <cell r="B517">
            <v>3</v>
          </cell>
          <cell r="C517">
            <v>1</v>
          </cell>
          <cell r="D517">
            <v>0</v>
          </cell>
          <cell r="E517">
            <v>1</v>
          </cell>
          <cell r="F517" t="str">
            <v>TJS</v>
          </cell>
          <cell r="G517">
            <v>0</v>
          </cell>
          <cell r="H517">
            <v>2629839</v>
          </cell>
          <cell r="I517">
            <v>3</v>
          </cell>
          <cell r="J517" t="str">
            <v>СЛТ АКБ "Ист-Кредитбанк"</v>
          </cell>
          <cell r="K517">
            <v>0</v>
          </cell>
          <cell r="L517">
            <v>2629839</v>
          </cell>
          <cell r="M517">
            <v>1</v>
          </cell>
          <cell r="N517">
            <v>0</v>
          </cell>
        </row>
        <row r="518">
          <cell r="A518">
            <v>2003</v>
          </cell>
          <cell r="B518">
            <v>3</v>
          </cell>
          <cell r="C518">
            <v>1</v>
          </cell>
          <cell r="D518">
            <v>0</v>
          </cell>
          <cell r="E518">
            <v>1</v>
          </cell>
          <cell r="F518" t="str">
            <v>TJS</v>
          </cell>
          <cell r="G518">
            <v>0</v>
          </cell>
          <cell r="H518">
            <v>7215</v>
          </cell>
          <cell r="I518">
            <v>1</v>
          </cell>
          <cell r="J518" t="str">
            <v>СЛТ АКБ "Ист-Кредитбанк"</v>
          </cell>
          <cell r="K518">
            <v>0</v>
          </cell>
          <cell r="L518">
            <v>7215</v>
          </cell>
          <cell r="M518">
            <v>1</v>
          </cell>
          <cell r="N518">
            <v>0</v>
          </cell>
        </row>
        <row r="519">
          <cell r="A519">
            <v>2003</v>
          </cell>
          <cell r="B519">
            <v>4</v>
          </cell>
          <cell r="C519">
            <v>1</v>
          </cell>
          <cell r="D519">
            <v>0</v>
          </cell>
          <cell r="E519">
            <v>1</v>
          </cell>
          <cell r="F519" t="str">
            <v>USD</v>
          </cell>
          <cell r="G519">
            <v>0</v>
          </cell>
          <cell r="H519">
            <v>749622</v>
          </cell>
          <cell r="I519">
            <v>11</v>
          </cell>
          <cell r="J519" t="str">
            <v>"Тиджорат" ИРИ</v>
          </cell>
          <cell r="K519">
            <v>0</v>
          </cell>
          <cell r="L519">
            <v>749622</v>
          </cell>
          <cell r="M519">
            <v>1</v>
          </cell>
          <cell r="N519">
            <v>0</v>
          </cell>
        </row>
        <row r="520">
          <cell r="A520">
            <v>2003</v>
          </cell>
          <cell r="B520">
            <v>4</v>
          </cell>
          <cell r="C520">
            <v>1</v>
          </cell>
          <cell r="D520">
            <v>0</v>
          </cell>
          <cell r="E520">
            <v>2</v>
          </cell>
          <cell r="F520" t="str">
            <v>USD</v>
          </cell>
          <cell r="G520">
            <v>0</v>
          </cell>
          <cell r="H520">
            <v>1531792</v>
          </cell>
          <cell r="I520">
            <v>30</v>
          </cell>
          <cell r="J520" t="str">
            <v>"Тиджорат" ИРИ</v>
          </cell>
          <cell r="K520">
            <v>0</v>
          </cell>
          <cell r="L520">
            <v>1531792</v>
          </cell>
          <cell r="M520">
            <v>1</v>
          </cell>
          <cell r="N520">
            <v>0</v>
          </cell>
        </row>
        <row r="521">
          <cell r="A521">
            <v>2003</v>
          </cell>
          <cell r="B521">
            <v>4</v>
          </cell>
          <cell r="C521">
            <v>1</v>
          </cell>
          <cell r="D521">
            <v>0</v>
          </cell>
          <cell r="E521">
            <v>1</v>
          </cell>
          <cell r="F521" t="str">
            <v>TJS</v>
          </cell>
          <cell r="G521">
            <v>0</v>
          </cell>
          <cell r="H521">
            <v>50526</v>
          </cell>
          <cell r="I521">
            <v>5</v>
          </cell>
          <cell r="J521" t="str">
            <v>"Тиджорат" ИРИ</v>
          </cell>
          <cell r="K521">
            <v>0</v>
          </cell>
          <cell r="L521">
            <v>50526</v>
          </cell>
          <cell r="M521">
            <v>1</v>
          </cell>
          <cell r="N521">
            <v>0</v>
          </cell>
        </row>
        <row r="522">
          <cell r="A522">
            <v>2003</v>
          </cell>
          <cell r="B522">
            <v>4</v>
          </cell>
          <cell r="C522">
            <v>1</v>
          </cell>
          <cell r="D522">
            <v>0</v>
          </cell>
          <cell r="E522">
            <v>2</v>
          </cell>
          <cell r="F522" t="str">
            <v>TJS</v>
          </cell>
          <cell r="G522">
            <v>0</v>
          </cell>
          <cell r="H522">
            <v>6035</v>
          </cell>
          <cell r="I522">
            <v>1</v>
          </cell>
          <cell r="J522" t="str">
            <v>"Тиджорат" ИРИ</v>
          </cell>
          <cell r="K522">
            <v>0</v>
          </cell>
          <cell r="L522">
            <v>6035</v>
          </cell>
          <cell r="M522">
            <v>1</v>
          </cell>
          <cell r="N522">
            <v>0</v>
          </cell>
        </row>
        <row r="523">
          <cell r="A523">
            <v>2003</v>
          </cell>
          <cell r="B523">
            <v>4</v>
          </cell>
          <cell r="C523">
            <v>3</v>
          </cell>
          <cell r="D523">
            <v>0</v>
          </cell>
          <cell r="E523">
            <v>2</v>
          </cell>
          <cell r="F523" t="str">
            <v>USD</v>
          </cell>
          <cell r="G523">
            <v>0</v>
          </cell>
          <cell r="H523">
            <v>183354</v>
          </cell>
          <cell r="I523">
            <v>8</v>
          </cell>
          <cell r="J523" t="str">
            <v>"Тиджорат" ИРИ</v>
          </cell>
          <cell r="K523">
            <v>0</v>
          </cell>
          <cell r="L523">
            <v>183354</v>
          </cell>
          <cell r="M523">
            <v>1</v>
          </cell>
          <cell r="N523">
            <v>0</v>
          </cell>
        </row>
        <row r="524">
          <cell r="A524">
            <v>2003</v>
          </cell>
          <cell r="B524">
            <v>4</v>
          </cell>
          <cell r="C524">
            <v>1</v>
          </cell>
          <cell r="D524">
            <v>0</v>
          </cell>
          <cell r="E524">
            <v>1</v>
          </cell>
          <cell r="F524" t="str">
            <v>TJS</v>
          </cell>
          <cell r="G524">
            <v>0</v>
          </cell>
          <cell r="H524">
            <v>73218397</v>
          </cell>
          <cell r="I524">
            <v>1690</v>
          </cell>
          <cell r="J524" t="str">
            <v>АК АПИБ "Агроинвестбанк"</v>
          </cell>
          <cell r="K524">
            <v>0</v>
          </cell>
          <cell r="L524">
            <v>73218397</v>
          </cell>
          <cell r="M524">
            <v>1</v>
          </cell>
          <cell r="N524">
            <v>0</v>
          </cell>
        </row>
        <row r="525">
          <cell r="A525">
            <v>2003</v>
          </cell>
          <cell r="B525">
            <v>4</v>
          </cell>
          <cell r="C525">
            <v>1</v>
          </cell>
          <cell r="D525">
            <v>0</v>
          </cell>
          <cell r="E525">
            <v>2</v>
          </cell>
          <cell r="F525" t="str">
            <v>TJS</v>
          </cell>
          <cell r="G525">
            <v>0</v>
          </cell>
          <cell r="H525">
            <v>412623</v>
          </cell>
          <cell r="I525">
            <v>46</v>
          </cell>
          <cell r="J525" t="str">
            <v>АК АПИБ "Агроинвестбанк"</v>
          </cell>
          <cell r="K525">
            <v>0</v>
          </cell>
          <cell r="L525">
            <v>412623</v>
          </cell>
          <cell r="M525">
            <v>1</v>
          </cell>
          <cell r="N525">
            <v>0</v>
          </cell>
        </row>
        <row r="526">
          <cell r="A526">
            <v>2003</v>
          </cell>
          <cell r="B526">
            <v>4</v>
          </cell>
          <cell r="C526">
            <v>3</v>
          </cell>
          <cell r="D526">
            <v>0</v>
          </cell>
          <cell r="E526">
            <v>2</v>
          </cell>
          <cell r="F526" t="str">
            <v>TJS</v>
          </cell>
          <cell r="G526">
            <v>15</v>
          </cell>
          <cell r="H526">
            <v>234938</v>
          </cell>
          <cell r="I526">
            <v>115</v>
          </cell>
          <cell r="J526" t="str">
            <v>АК АПИБ "Агроинвестбанк"</v>
          </cell>
          <cell r="K526">
            <v>3524070</v>
          </cell>
          <cell r="L526">
            <v>234938</v>
          </cell>
          <cell r="M526">
            <v>1</v>
          </cell>
          <cell r="N526">
            <v>3524070</v>
          </cell>
        </row>
        <row r="527">
          <cell r="A527">
            <v>2003</v>
          </cell>
          <cell r="B527">
            <v>4</v>
          </cell>
          <cell r="C527">
            <v>2</v>
          </cell>
          <cell r="D527">
            <v>180</v>
          </cell>
          <cell r="E527">
            <v>1</v>
          </cell>
          <cell r="F527" t="str">
            <v>TJS</v>
          </cell>
          <cell r="G527">
            <v>15</v>
          </cell>
          <cell r="H527">
            <v>622500</v>
          </cell>
          <cell r="I527">
            <v>8</v>
          </cell>
          <cell r="J527" t="str">
            <v>АК АПИБ "Агроинвестбанк"</v>
          </cell>
          <cell r="K527">
            <v>9337500</v>
          </cell>
          <cell r="L527">
            <v>622500</v>
          </cell>
          <cell r="M527">
            <v>1</v>
          </cell>
          <cell r="N527">
            <v>9337500</v>
          </cell>
        </row>
        <row r="528">
          <cell r="A528">
            <v>2003</v>
          </cell>
          <cell r="B528">
            <v>4</v>
          </cell>
          <cell r="C528">
            <v>2</v>
          </cell>
          <cell r="D528">
            <v>360</v>
          </cell>
          <cell r="E528">
            <v>1</v>
          </cell>
          <cell r="F528" t="str">
            <v>TJS</v>
          </cell>
          <cell r="G528">
            <v>16</v>
          </cell>
          <cell r="H528">
            <v>26700</v>
          </cell>
          <cell r="I528">
            <v>6</v>
          </cell>
          <cell r="J528" t="str">
            <v>АК АПИБ "Агроинвестбанк"</v>
          </cell>
          <cell r="K528">
            <v>427200</v>
          </cell>
          <cell r="L528">
            <v>26700</v>
          </cell>
          <cell r="M528">
            <v>1</v>
          </cell>
          <cell r="N528">
            <v>427200</v>
          </cell>
        </row>
        <row r="529">
          <cell r="A529">
            <v>2003</v>
          </cell>
          <cell r="B529">
            <v>4</v>
          </cell>
          <cell r="C529">
            <v>2</v>
          </cell>
          <cell r="D529">
            <v>9</v>
          </cell>
          <cell r="E529">
            <v>2</v>
          </cell>
          <cell r="F529" t="str">
            <v>TJS</v>
          </cell>
          <cell r="G529">
            <v>12</v>
          </cell>
          <cell r="H529">
            <v>5</v>
          </cell>
          <cell r="I529">
            <v>1</v>
          </cell>
          <cell r="J529" t="str">
            <v>АК АПИБ "Агроинвестбанк"</v>
          </cell>
          <cell r="K529">
            <v>60</v>
          </cell>
          <cell r="L529">
            <v>5</v>
          </cell>
          <cell r="M529">
            <v>1</v>
          </cell>
          <cell r="N529">
            <v>60</v>
          </cell>
        </row>
        <row r="530">
          <cell r="A530">
            <v>2003</v>
          </cell>
          <cell r="B530">
            <v>4</v>
          </cell>
          <cell r="C530">
            <v>2</v>
          </cell>
          <cell r="D530">
            <v>180</v>
          </cell>
          <cell r="E530">
            <v>2</v>
          </cell>
          <cell r="F530" t="str">
            <v>TJS</v>
          </cell>
          <cell r="G530">
            <v>15</v>
          </cell>
          <cell r="H530">
            <v>12000</v>
          </cell>
          <cell r="I530">
            <v>6</v>
          </cell>
          <cell r="J530" t="str">
            <v>АК АПИБ "Агроинвестбанк"</v>
          </cell>
          <cell r="K530">
            <v>180000</v>
          </cell>
          <cell r="L530">
            <v>12000</v>
          </cell>
          <cell r="M530">
            <v>1</v>
          </cell>
          <cell r="N530">
            <v>180000</v>
          </cell>
        </row>
        <row r="531">
          <cell r="A531">
            <v>2003</v>
          </cell>
          <cell r="B531">
            <v>4</v>
          </cell>
          <cell r="C531">
            <v>2</v>
          </cell>
          <cell r="D531">
            <v>360</v>
          </cell>
          <cell r="E531">
            <v>2</v>
          </cell>
          <cell r="F531" t="str">
            <v>TJS</v>
          </cell>
          <cell r="G531">
            <v>16</v>
          </cell>
          <cell r="H531">
            <v>33700</v>
          </cell>
          <cell r="I531">
            <v>21</v>
          </cell>
          <cell r="J531" t="str">
            <v>АК АПИБ "Агроинвестбанк"</v>
          </cell>
          <cell r="K531">
            <v>539200</v>
          </cell>
          <cell r="L531">
            <v>33700</v>
          </cell>
          <cell r="M531">
            <v>1</v>
          </cell>
          <cell r="N531">
            <v>539200</v>
          </cell>
        </row>
        <row r="532">
          <cell r="A532">
            <v>2003</v>
          </cell>
          <cell r="B532">
            <v>4</v>
          </cell>
          <cell r="C532">
            <v>2</v>
          </cell>
          <cell r="D532">
            <v>366</v>
          </cell>
          <cell r="E532">
            <v>2</v>
          </cell>
          <cell r="F532" t="str">
            <v>TJS</v>
          </cell>
          <cell r="G532">
            <v>17</v>
          </cell>
          <cell r="H532">
            <v>10310</v>
          </cell>
          <cell r="I532">
            <v>4</v>
          </cell>
          <cell r="J532" t="str">
            <v>АК АПИБ "Агроинвестбанк"</v>
          </cell>
          <cell r="K532">
            <v>175270</v>
          </cell>
          <cell r="L532">
            <v>10310</v>
          </cell>
          <cell r="M532">
            <v>1</v>
          </cell>
          <cell r="N532">
            <v>175270</v>
          </cell>
        </row>
        <row r="533">
          <cell r="A533">
            <v>2003</v>
          </cell>
          <cell r="B533">
            <v>4</v>
          </cell>
          <cell r="C533">
            <v>1</v>
          </cell>
          <cell r="D533">
            <v>0</v>
          </cell>
          <cell r="E533">
            <v>1</v>
          </cell>
          <cell r="F533" t="str">
            <v>RUR</v>
          </cell>
          <cell r="G533">
            <v>0</v>
          </cell>
          <cell r="H533">
            <v>1530167</v>
          </cell>
          <cell r="I533">
            <v>27</v>
          </cell>
          <cell r="J533" t="str">
            <v>АК АПИБ "Агроинвестбанк"</v>
          </cell>
          <cell r="K533">
            <v>0</v>
          </cell>
          <cell r="L533">
            <v>1494812.6351391212</v>
          </cell>
          <cell r="M533">
            <v>0.9768950938944058</v>
          </cell>
          <cell r="N533">
            <v>0</v>
          </cell>
        </row>
        <row r="534">
          <cell r="A534">
            <v>2003</v>
          </cell>
          <cell r="B534">
            <v>4</v>
          </cell>
          <cell r="C534">
            <v>3</v>
          </cell>
          <cell r="D534">
            <v>0</v>
          </cell>
          <cell r="E534">
            <v>2</v>
          </cell>
          <cell r="F534" t="str">
            <v>RUR</v>
          </cell>
          <cell r="G534">
            <v>6</v>
          </cell>
          <cell r="H534">
            <v>850</v>
          </cell>
          <cell r="I534">
            <v>12</v>
          </cell>
          <cell r="J534" t="str">
            <v>АК АПИБ "Агроинвестбанк"</v>
          </cell>
          <cell r="K534">
            <v>5100</v>
          </cell>
          <cell r="L534">
            <v>830.3608298102449</v>
          </cell>
          <cell r="M534">
            <v>0.9768950938944058</v>
          </cell>
          <cell r="N534">
            <v>4982.1649788614695</v>
          </cell>
        </row>
        <row r="535">
          <cell r="A535">
            <v>2003</v>
          </cell>
          <cell r="B535">
            <v>4</v>
          </cell>
          <cell r="C535">
            <v>1</v>
          </cell>
          <cell r="D535">
            <v>0</v>
          </cell>
          <cell r="E535">
            <v>1</v>
          </cell>
          <cell r="F535" t="str">
            <v>USD</v>
          </cell>
          <cell r="G535">
            <v>0</v>
          </cell>
          <cell r="H535">
            <v>76718077</v>
          </cell>
          <cell r="I535">
            <v>244</v>
          </cell>
          <cell r="J535" t="str">
            <v>АК АПИБ "Агроинвестбанк"</v>
          </cell>
          <cell r="K535">
            <v>0</v>
          </cell>
          <cell r="L535">
            <v>76718077</v>
          </cell>
          <cell r="M535">
            <v>1</v>
          </cell>
          <cell r="N535">
            <v>0</v>
          </cell>
        </row>
        <row r="536">
          <cell r="A536">
            <v>2003</v>
          </cell>
          <cell r="B536">
            <v>4</v>
          </cell>
          <cell r="C536">
            <v>1</v>
          </cell>
          <cell r="D536">
            <v>0</v>
          </cell>
          <cell r="E536">
            <v>2</v>
          </cell>
          <cell r="F536" t="str">
            <v>USD</v>
          </cell>
          <cell r="G536">
            <v>0</v>
          </cell>
          <cell r="H536">
            <v>602231</v>
          </cell>
          <cell r="I536">
            <v>97</v>
          </cell>
          <cell r="J536" t="str">
            <v>АК АПИБ "Агроинвестбанк"</v>
          </cell>
          <cell r="K536">
            <v>0</v>
          </cell>
          <cell r="L536">
            <v>602231</v>
          </cell>
          <cell r="M536">
            <v>1</v>
          </cell>
          <cell r="N536">
            <v>0</v>
          </cell>
        </row>
        <row r="537">
          <cell r="A537">
            <v>2003</v>
          </cell>
          <cell r="B537">
            <v>4</v>
          </cell>
          <cell r="C537">
            <v>3</v>
          </cell>
          <cell r="D537">
            <v>0</v>
          </cell>
          <cell r="E537">
            <v>2</v>
          </cell>
          <cell r="F537" t="str">
            <v>USD</v>
          </cell>
          <cell r="G537">
            <v>6.5</v>
          </cell>
          <cell r="H537">
            <v>1730732</v>
          </cell>
          <cell r="I537">
            <v>598</v>
          </cell>
          <cell r="J537" t="str">
            <v>АК АПИБ "Агроинвестбанк"</v>
          </cell>
          <cell r="K537">
            <v>11249758</v>
          </cell>
          <cell r="L537">
            <v>1730732</v>
          </cell>
          <cell r="M537">
            <v>1</v>
          </cell>
          <cell r="N537">
            <v>11249758</v>
          </cell>
        </row>
        <row r="538">
          <cell r="A538">
            <v>2003</v>
          </cell>
          <cell r="B538">
            <v>4</v>
          </cell>
          <cell r="C538">
            <v>2</v>
          </cell>
          <cell r="D538">
            <v>360</v>
          </cell>
          <cell r="E538">
            <v>1</v>
          </cell>
          <cell r="F538" t="str">
            <v>USD</v>
          </cell>
          <cell r="G538">
            <v>15</v>
          </cell>
          <cell r="H538">
            <v>62203</v>
          </cell>
          <cell r="I538">
            <v>49</v>
          </cell>
          <cell r="J538" t="str">
            <v>АК АПИБ "Агроинвестбанк"</v>
          </cell>
          <cell r="K538">
            <v>933045</v>
          </cell>
          <cell r="L538">
            <v>62203</v>
          </cell>
          <cell r="M538">
            <v>1</v>
          </cell>
          <cell r="N538">
            <v>933045</v>
          </cell>
        </row>
        <row r="539">
          <cell r="A539">
            <v>2003</v>
          </cell>
          <cell r="B539">
            <v>4</v>
          </cell>
          <cell r="C539">
            <v>2</v>
          </cell>
          <cell r="D539">
            <v>90</v>
          </cell>
          <cell r="E539">
            <v>2</v>
          </cell>
          <cell r="F539" t="str">
            <v>USD</v>
          </cell>
          <cell r="G539">
            <v>8</v>
          </cell>
          <cell r="H539">
            <v>71752</v>
          </cell>
          <cell r="I539">
            <v>69</v>
          </cell>
          <cell r="J539" t="str">
            <v>АК АПИБ "Агроинвестбанк"</v>
          </cell>
          <cell r="K539">
            <v>574016</v>
          </cell>
          <cell r="L539">
            <v>71752</v>
          </cell>
          <cell r="M539">
            <v>1</v>
          </cell>
          <cell r="N539">
            <v>574016</v>
          </cell>
        </row>
        <row r="540">
          <cell r="A540">
            <v>2003</v>
          </cell>
          <cell r="B540">
            <v>4</v>
          </cell>
          <cell r="C540">
            <v>2</v>
          </cell>
          <cell r="D540">
            <v>180</v>
          </cell>
          <cell r="E540">
            <v>2</v>
          </cell>
          <cell r="F540" t="str">
            <v>USD</v>
          </cell>
          <cell r="G540">
            <v>10</v>
          </cell>
          <cell r="H540">
            <v>75342</v>
          </cell>
          <cell r="I540">
            <v>43</v>
          </cell>
          <cell r="J540" t="str">
            <v>АК АПИБ "Агроинвестбанк"</v>
          </cell>
          <cell r="K540">
            <v>753420</v>
          </cell>
          <cell r="L540">
            <v>75342</v>
          </cell>
          <cell r="M540">
            <v>1</v>
          </cell>
          <cell r="N540">
            <v>753420</v>
          </cell>
        </row>
        <row r="541">
          <cell r="A541">
            <v>2003</v>
          </cell>
          <cell r="B541">
            <v>4</v>
          </cell>
          <cell r="C541">
            <v>2</v>
          </cell>
          <cell r="D541">
            <v>360</v>
          </cell>
          <cell r="E541">
            <v>2</v>
          </cell>
          <cell r="F541" t="str">
            <v>USD</v>
          </cell>
          <cell r="G541">
            <v>8</v>
          </cell>
          <cell r="H541">
            <v>61800</v>
          </cell>
          <cell r="I541">
            <v>77</v>
          </cell>
          <cell r="J541" t="str">
            <v>АК АПИБ "Агроинвестбанк"</v>
          </cell>
          <cell r="K541">
            <v>494400</v>
          </cell>
          <cell r="L541">
            <v>61800</v>
          </cell>
          <cell r="M541">
            <v>1</v>
          </cell>
          <cell r="N541">
            <v>494400</v>
          </cell>
        </row>
        <row r="542">
          <cell r="A542">
            <v>2003</v>
          </cell>
          <cell r="B542">
            <v>4</v>
          </cell>
          <cell r="C542">
            <v>2</v>
          </cell>
          <cell r="D542">
            <v>360</v>
          </cell>
          <cell r="E542">
            <v>2</v>
          </cell>
          <cell r="F542" t="str">
            <v>USD</v>
          </cell>
          <cell r="G542">
            <v>12</v>
          </cell>
          <cell r="H542">
            <v>39609</v>
          </cell>
          <cell r="I542">
            <v>19</v>
          </cell>
          <cell r="J542" t="str">
            <v>АК АПИБ "Агроинвестбанк"</v>
          </cell>
          <cell r="K542">
            <v>475308</v>
          </cell>
          <cell r="L542">
            <v>39609</v>
          </cell>
          <cell r="M542">
            <v>1</v>
          </cell>
          <cell r="N542">
            <v>475308</v>
          </cell>
        </row>
        <row r="543">
          <cell r="A543">
            <v>2003</v>
          </cell>
          <cell r="B543">
            <v>4</v>
          </cell>
          <cell r="C543">
            <v>2</v>
          </cell>
          <cell r="D543">
            <v>366</v>
          </cell>
          <cell r="E543">
            <v>2</v>
          </cell>
          <cell r="F543" t="str">
            <v>USD</v>
          </cell>
          <cell r="G543">
            <v>13</v>
          </cell>
          <cell r="H543">
            <v>51865</v>
          </cell>
          <cell r="I543">
            <v>89</v>
          </cell>
          <cell r="J543" t="str">
            <v>АК АПИБ "Агроинвестбанк"</v>
          </cell>
          <cell r="K543">
            <v>674245</v>
          </cell>
          <cell r="L543">
            <v>51865</v>
          </cell>
          <cell r="M543">
            <v>1</v>
          </cell>
          <cell r="N543">
            <v>674245</v>
          </cell>
        </row>
        <row r="544">
          <cell r="A544">
            <v>2003</v>
          </cell>
          <cell r="B544">
            <v>4</v>
          </cell>
          <cell r="C544">
            <v>1</v>
          </cell>
          <cell r="D544">
            <v>0</v>
          </cell>
          <cell r="E544">
            <v>1</v>
          </cell>
          <cell r="F544" t="str">
            <v>TJS</v>
          </cell>
          <cell r="G544">
            <v>0</v>
          </cell>
          <cell r="H544">
            <v>5157246</v>
          </cell>
          <cell r="I544">
            <v>72</v>
          </cell>
          <cell r="J544" t="str">
            <v>АКБ  СП "Сохибкорбанк"</v>
          </cell>
          <cell r="K544">
            <v>0</v>
          </cell>
          <cell r="L544">
            <v>5157246</v>
          </cell>
          <cell r="M544">
            <v>1</v>
          </cell>
          <cell r="N544">
            <v>0</v>
          </cell>
        </row>
        <row r="545">
          <cell r="A545">
            <v>2003</v>
          </cell>
          <cell r="B545">
            <v>4</v>
          </cell>
          <cell r="C545">
            <v>2</v>
          </cell>
          <cell r="D545">
            <v>240</v>
          </cell>
          <cell r="E545">
            <v>2</v>
          </cell>
          <cell r="F545" t="str">
            <v>TJS</v>
          </cell>
          <cell r="G545">
            <v>24</v>
          </cell>
          <cell r="H545">
            <v>9961</v>
          </cell>
          <cell r="I545">
            <v>2</v>
          </cell>
          <cell r="J545" t="str">
            <v>АКБ  СП "Сохибкорбанк"</v>
          </cell>
          <cell r="K545">
            <v>239064</v>
          </cell>
          <cell r="L545">
            <v>9961</v>
          </cell>
          <cell r="M545">
            <v>1</v>
          </cell>
          <cell r="N545">
            <v>239064</v>
          </cell>
        </row>
        <row r="546">
          <cell r="A546">
            <v>2003</v>
          </cell>
          <cell r="B546">
            <v>4</v>
          </cell>
          <cell r="C546">
            <v>2</v>
          </cell>
          <cell r="D546">
            <v>90</v>
          </cell>
          <cell r="E546">
            <v>2</v>
          </cell>
          <cell r="F546" t="str">
            <v>TJS</v>
          </cell>
          <cell r="G546">
            <v>60</v>
          </cell>
          <cell r="H546">
            <v>330</v>
          </cell>
          <cell r="I546">
            <v>1</v>
          </cell>
          <cell r="J546" t="str">
            <v>АКБ  СП "Сохибкорбанк"</v>
          </cell>
          <cell r="K546">
            <v>19800</v>
          </cell>
          <cell r="L546">
            <v>330</v>
          </cell>
          <cell r="M546">
            <v>1</v>
          </cell>
          <cell r="N546">
            <v>19800</v>
          </cell>
        </row>
        <row r="547">
          <cell r="A547">
            <v>2003</v>
          </cell>
          <cell r="B547">
            <v>4</v>
          </cell>
          <cell r="C547">
            <v>1</v>
          </cell>
          <cell r="D547">
            <v>0</v>
          </cell>
          <cell r="E547">
            <v>1</v>
          </cell>
          <cell r="F547" t="str">
            <v>USD</v>
          </cell>
          <cell r="G547">
            <v>0</v>
          </cell>
          <cell r="H547">
            <v>1746348</v>
          </cell>
          <cell r="I547">
            <v>17</v>
          </cell>
          <cell r="J547" t="str">
            <v>АКБ  СП "Сохибкорбанк"</v>
          </cell>
          <cell r="K547">
            <v>0</v>
          </cell>
          <cell r="L547">
            <v>1746348</v>
          </cell>
          <cell r="M547">
            <v>1</v>
          </cell>
          <cell r="N547">
            <v>0</v>
          </cell>
        </row>
        <row r="548">
          <cell r="A548">
            <v>2003</v>
          </cell>
          <cell r="B548">
            <v>4</v>
          </cell>
          <cell r="C548">
            <v>1</v>
          </cell>
          <cell r="D548">
            <v>0</v>
          </cell>
          <cell r="E548">
            <v>1</v>
          </cell>
          <cell r="F548" t="str">
            <v>RUR</v>
          </cell>
          <cell r="G548">
            <v>0</v>
          </cell>
          <cell r="H548">
            <v>484074</v>
          </cell>
          <cell r="I548">
            <v>7</v>
          </cell>
          <cell r="J548" t="str">
            <v>АКБ  СП "Сохибкорбанк"</v>
          </cell>
          <cell r="K548">
            <v>0</v>
          </cell>
          <cell r="L548">
            <v>472889.5156818406</v>
          </cell>
          <cell r="M548">
            <v>0.9768950938944058</v>
          </cell>
          <cell r="N548">
            <v>0</v>
          </cell>
        </row>
        <row r="549">
          <cell r="A549">
            <v>2003</v>
          </cell>
          <cell r="B549">
            <v>4</v>
          </cell>
          <cell r="C549">
            <v>1</v>
          </cell>
          <cell r="D549">
            <v>0</v>
          </cell>
          <cell r="E549">
            <v>1</v>
          </cell>
          <cell r="F549" t="str">
            <v>EURO</v>
          </cell>
          <cell r="G549">
            <v>0</v>
          </cell>
          <cell r="H549">
            <v>1702</v>
          </cell>
          <cell r="I549">
            <v>1</v>
          </cell>
          <cell r="J549" t="str">
            <v>АКБ  СП "Сохибкорбанк"</v>
          </cell>
          <cell r="K549">
            <v>0</v>
          </cell>
          <cell r="L549">
            <v>1610.9093082740214</v>
          </cell>
          <cell r="M549">
            <v>0.9464802046263345</v>
          </cell>
          <cell r="N549">
            <v>0</v>
          </cell>
        </row>
        <row r="550">
          <cell r="A550">
            <v>2003</v>
          </cell>
          <cell r="B550">
            <v>4</v>
          </cell>
          <cell r="C550">
            <v>2</v>
          </cell>
          <cell r="D550">
            <v>240</v>
          </cell>
          <cell r="E550">
            <v>2</v>
          </cell>
          <cell r="F550" t="str">
            <v>USD</v>
          </cell>
          <cell r="G550">
            <v>22</v>
          </cell>
          <cell r="H550">
            <v>69473</v>
          </cell>
          <cell r="I550">
            <v>4</v>
          </cell>
          <cell r="J550" t="str">
            <v>АКБ  СП "Сохибкорбанк"</v>
          </cell>
          <cell r="K550">
            <v>1528406</v>
          </cell>
          <cell r="L550">
            <v>69473</v>
          </cell>
          <cell r="M550">
            <v>1</v>
          </cell>
          <cell r="N550">
            <v>1528406</v>
          </cell>
        </row>
        <row r="551">
          <cell r="A551">
            <v>2003</v>
          </cell>
          <cell r="B551">
            <v>4</v>
          </cell>
          <cell r="C551">
            <v>1</v>
          </cell>
          <cell r="D551">
            <v>0</v>
          </cell>
          <cell r="E551">
            <v>1</v>
          </cell>
          <cell r="F551" t="str">
            <v>TJS</v>
          </cell>
          <cell r="G551">
            <v>0</v>
          </cell>
          <cell r="H551">
            <v>426029</v>
          </cell>
          <cell r="I551">
            <v>27</v>
          </cell>
          <cell r="J551" t="str">
            <v>АКБ "Ганчина"</v>
          </cell>
          <cell r="K551">
            <v>0</v>
          </cell>
          <cell r="L551">
            <v>426029</v>
          </cell>
          <cell r="M551">
            <v>1</v>
          </cell>
          <cell r="N551">
            <v>0</v>
          </cell>
        </row>
        <row r="552">
          <cell r="A552">
            <v>2003</v>
          </cell>
          <cell r="B552">
            <v>4</v>
          </cell>
          <cell r="C552">
            <v>1</v>
          </cell>
          <cell r="D552">
            <v>0</v>
          </cell>
          <cell r="E552">
            <v>2</v>
          </cell>
          <cell r="F552" t="str">
            <v>TJS</v>
          </cell>
          <cell r="G552">
            <v>0</v>
          </cell>
          <cell r="H552">
            <v>737</v>
          </cell>
          <cell r="I552">
            <v>2</v>
          </cell>
          <cell r="J552" t="str">
            <v>АКБ "Ганчина"</v>
          </cell>
          <cell r="K552">
            <v>0</v>
          </cell>
          <cell r="L552">
            <v>737</v>
          </cell>
          <cell r="M552">
            <v>1</v>
          </cell>
          <cell r="N552">
            <v>0</v>
          </cell>
        </row>
        <row r="553">
          <cell r="A553">
            <v>2003</v>
          </cell>
          <cell r="B553">
            <v>4</v>
          </cell>
          <cell r="C553">
            <v>2</v>
          </cell>
          <cell r="D553">
            <v>180</v>
          </cell>
          <cell r="E553">
            <v>1</v>
          </cell>
          <cell r="F553" t="str">
            <v>TJS</v>
          </cell>
          <cell r="G553">
            <v>24</v>
          </cell>
          <cell r="H553">
            <v>14315</v>
          </cell>
          <cell r="I553">
            <v>1</v>
          </cell>
          <cell r="J553" t="str">
            <v>АКБ "Эсхата"</v>
          </cell>
          <cell r="K553">
            <v>343560</v>
          </cell>
          <cell r="L553">
            <v>14315</v>
          </cell>
          <cell r="M553">
            <v>1</v>
          </cell>
          <cell r="N553">
            <v>343560</v>
          </cell>
        </row>
        <row r="554">
          <cell r="A554">
            <v>2003</v>
          </cell>
          <cell r="B554">
            <v>4</v>
          </cell>
          <cell r="C554">
            <v>2</v>
          </cell>
          <cell r="D554">
            <v>270</v>
          </cell>
          <cell r="E554">
            <v>1</v>
          </cell>
          <cell r="F554" t="str">
            <v>TJS</v>
          </cell>
          <cell r="G554">
            <v>24</v>
          </cell>
          <cell r="H554">
            <v>30000</v>
          </cell>
          <cell r="I554">
            <v>1</v>
          </cell>
          <cell r="J554" t="str">
            <v>АКБ "Эсхата"</v>
          </cell>
          <cell r="K554">
            <v>720000</v>
          </cell>
          <cell r="L554">
            <v>30000</v>
          </cell>
          <cell r="M554">
            <v>1</v>
          </cell>
          <cell r="N554">
            <v>720000</v>
          </cell>
        </row>
        <row r="555">
          <cell r="A555">
            <v>2003</v>
          </cell>
          <cell r="B555">
            <v>4</v>
          </cell>
          <cell r="C555">
            <v>2</v>
          </cell>
          <cell r="D555">
            <v>360</v>
          </cell>
          <cell r="E555">
            <v>2</v>
          </cell>
          <cell r="F555" t="str">
            <v>TJS</v>
          </cell>
          <cell r="G555">
            <v>6</v>
          </cell>
          <cell r="H555">
            <v>3000</v>
          </cell>
          <cell r="I555">
            <v>4</v>
          </cell>
          <cell r="J555" t="str">
            <v>АКБ "Эсхата"</v>
          </cell>
          <cell r="K555">
            <v>18000</v>
          </cell>
          <cell r="L555">
            <v>3000</v>
          </cell>
          <cell r="M555">
            <v>1</v>
          </cell>
          <cell r="N555">
            <v>18000</v>
          </cell>
        </row>
        <row r="556">
          <cell r="A556">
            <v>2003</v>
          </cell>
          <cell r="B556">
            <v>4</v>
          </cell>
          <cell r="C556">
            <v>1</v>
          </cell>
          <cell r="D556">
            <v>0</v>
          </cell>
          <cell r="E556">
            <v>1</v>
          </cell>
          <cell r="F556" t="str">
            <v>TJS</v>
          </cell>
          <cell r="G556">
            <v>0</v>
          </cell>
          <cell r="H556">
            <v>13229498</v>
          </cell>
          <cell r="I556">
            <v>250</v>
          </cell>
          <cell r="J556" t="str">
            <v>АКБ "Эсхата"</v>
          </cell>
          <cell r="K556">
            <v>0</v>
          </cell>
          <cell r="L556">
            <v>13229498</v>
          </cell>
          <cell r="M556">
            <v>1</v>
          </cell>
          <cell r="N556">
            <v>0</v>
          </cell>
        </row>
        <row r="557">
          <cell r="A557">
            <v>2003</v>
          </cell>
          <cell r="B557">
            <v>4</v>
          </cell>
          <cell r="C557">
            <v>1</v>
          </cell>
          <cell r="D557">
            <v>0</v>
          </cell>
          <cell r="E557">
            <v>2</v>
          </cell>
          <cell r="F557" t="str">
            <v>TJS</v>
          </cell>
          <cell r="G557">
            <v>0</v>
          </cell>
          <cell r="H557">
            <v>1911411</v>
          </cell>
          <cell r="I557">
            <v>39</v>
          </cell>
          <cell r="J557" t="str">
            <v>АКБ "Эсхата"</v>
          </cell>
          <cell r="K557">
            <v>0</v>
          </cell>
          <cell r="L557">
            <v>1911411</v>
          </cell>
          <cell r="M557">
            <v>1</v>
          </cell>
          <cell r="N557">
            <v>0</v>
          </cell>
        </row>
        <row r="558">
          <cell r="A558">
            <v>2003</v>
          </cell>
          <cell r="B558">
            <v>4</v>
          </cell>
          <cell r="C558">
            <v>2</v>
          </cell>
          <cell r="D558">
            <v>360</v>
          </cell>
          <cell r="E558">
            <v>2</v>
          </cell>
          <cell r="F558" t="str">
            <v>USD</v>
          </cell>
          <cell r="G558">
            <v>15</v>
          </cell>
          <cell r="H558">
            <v>6180</v>
          </cell>
          <cell r="I558">
            <v>1</v>
          </cell>
          <cell r="J558" t="str">
            <v>АКБ "Эсхата"</v>
          </cell>
          <cell r="K558">
            <v>92700</v>
          </cell>
          <cell r="L558">
            <v>6180</v>
          </cell>
          <cell r="M558">
            <v>1</v>
          </cell>
          <cell r="N558">
            <v>92700</v>
          </cell>
        </row>
        <row r="559">
          <cell r="A559">
            <v>2003</v>
          </cell>
          <cell r="B559">
            <v>4</v>
          </cell>
          <cell r="C559">
            <v>2</v>
          </cell>
          <cell r="D559">
            <v>90</v>
          </cell>
          <cell r="E559">
            <v>2</v>
          </cell>
          <cell r="F559" t="str">
            <v>USD</v>
          </cell>
          <cell r="G559">
            <v>12</v>
          </cell>
          <cell r="H559">
            <v>6180</v>
          </cell>
          <cell r="I559">
            <v>1</v>
          </cell>
          <cell r="J559" t="str">
            <v>АКБ "Эсхата"</v>
          </cell>
          <cell r="K559">
            <v>74160</v>
          </cell>
          <cell r="L559">
            <v>6180</v>
          </cell>
          <cell r="M559">
            <v>1</v>
          </cell>
          <cell r="N559">
            <v>74160</v>
          </cell>
        </row>
        <row r="560">
          <cell r="A560">
            <v>2003</v>
          </cell>
          <cell r="B560">
            <v>4</v>
          </cell>
          <cell r="C560">
            <v>2</v>
          </cell>
          <cell r="D560">
            <v>480</v>
          </cell>
          <cell r="E560">
            <v>2</v>
          </cell>
          <cell r="F560" t="str">
            <v>USD</v>
          </cell>
          <cell r="G560">
            <v>15</v>
          </cell>
          <cell r="H560">
            <v>9270</v>
          </cell>
          <cell r="I560">
            <v>1</v>
          </cell>
          <cell r="J560" t="str">
            <v>АКБ "Эсхата"</v>
          </cell>
          <cell r="K560">
            <v>139050</v>
          </cell>
          <cell r="L560">
            <v>9270</v>
          </cell>
          <cell r="M560">
            <v>1</v>
          </cell>
          <cell r="N560">
            <v>139050</v>
          </cell>
        </row>
        <row r="561">
          <cell r="A561">
            <v>2003</v>
          </cell>
          <cell r="B561">
            <v>4</v>
          </cell>
          <cell r="C561">
            <v>2</v>
          </cell>
          <cell r="D561">
            <v>390</v>
          </cell>
          <cell r="E561">
            <v>2</v>
          </cell>
          <cell r="F561" t="str">
            <v>USD</v>
          </cell>
          <cell r="G561">
            <v>15</v>
          </cell>
          <cell r="H561">
            <v>1391</v>
          </cell>
          <cell r="I561">
            <v>1</v>
          </cell>
          <cell r="J561" t="str">
            <v>АКБ "Эсхата"</v>
          </cell>
          <cell r="K561">
            <v>20865</v>
          </cell>
          <cell r="L561">
            <v>1391</v>
          </cell>
          <cell r="M561">
            <v>1</v>
          </cell>
          <cell r="N561">
            <v>20865</v>
          </cell>
        </row>
        <row r="562">
          <cell r="A562">
            <v>2003</v>
          </cell>
          <cell r="B562">
            <v>4</v>
          </cell>
          <cell r="C562">
            <v>2</v>
          </cell>
          <cell r="D562">
            <v>420</v>
          </cell>
          <cell r="E562">
            <v>2</v>
          </cell>
          <cell r="F562" t="str">
            <v>USD</v>
          </cell>
          <cell r="G562">
            <v>12</v>
          </cell>
          <cell r="H562">
            <v>618</v>
          </cell>
          <cell r="I562">
            <v>1</v>
          </cell>
          <cell r="J562" t="str">
            <v>АКБ "Эсхата"</v>
          </cell>
          <cell r="K562">
            <v>7416</v>
          </cell>
          <cell r="L562">
            <v>618</v>
          </cell>
          <cell r="M562">
            <v>1</v>
          </cell>
          <cell r="N562">
            <v>7416</v>
          </cell>
        </row>
        <row r="563">
          <cell r="A563">
            <v>2003</v>
          </cell>
          <cell r="B563">
            <v>4</v>
          </cell>
          <cell r="C563">
            <v>2</v>
          </cell>
          <cell r="D563">
            <v>1180</v>
          </cell>
          <cell r="E563">
            <v>2</v>
          </cell>
          <cell r="F563" t="str">
            <v>USD</v>
          </cell>
          <cell r="G563">
            <v>12</v>
          </cell>
          <cell r="H563">
            <v>2318</v>
          </cell>
          <cell r="I563">
            <v>1</v>
          </cell>
          <cell r="J563" t="str">
            <v>АКБ "Эсхата"</v>
          </cell>
          <cell r="K563">
            <v>27816</v>
          </cell>
          <cell r="L563">
            <v>2318</v>
          </cell>
          <cell r="M563">
            <v>1</v>
          </cell>
          <cell r="N563">
            <v>27816</v>
          </cell>
        </row>
        <row r="564">
          <cell r="A564">
            <v>2003</v>
          </cell>
          <cell r="B564">
            <v>4</v>
          </cell>
          <cell r="C564">
            <v>2</v>
          </cell>
          <cell r="D564">
            <v>270</v>
          </cell>
          <cell r="E564">
            <v>2</v>
          </cell>
          <cell r="F564" t="str">
            <v>USD</v>
          </cell>
          <cell r="G564">
            <v>15</v>
          </cell>
          <cell r="H564">
            <v>2163</v>
          </cell>
          <cell r="I564">
            <v>1</v>
          </cell>
          <cell r="J564" t="str">
            <v>АКБ "Эсхата"</v>
          </cell>
          <cell r="K564">
            <v>32445</v>
          </cell>
          <cell r="L564">
            <v>2163</v>
          </cell>
          <cell r="M564">
            <v>1</v>
          </cell>
          <cell r="N564">
            <v>32445</v>
          </cell>
        </row>
        <row r="565">
          <cell r="A565">
            <v>2003</v>
          </cell>
          <cell r="B565">
            <v>4</v>
          </cell>
          <cell r="C565">
            <v>1</v>
          </cell>
          <cell r="D565">
            <v>390</v>
          </cell>
          <cell r="E565">
            <v>2</v>
          </cell>
          <cell r="F565" t="str">
            <v>USD</v>
          </cell>
          <cell r="G565">
            <v>12</v>
          </cell>
          <cell r="H565">
            <v>1452</v>
          </cell>
          <cell r="I565">
            <v>1</v>
          </cell>
          <cell r="J565" t="str">
            <v>АКБ "Эсхата"</v>
          </cell>
          <cell r="K565">
            <v>17424</v>
          </cell>
          <cell r="L565">
            <v>1452</v>
          </cell>
          <cell r="M565">
            <v>1</v>
          </cell>
          <cell r="N565">
            <v>17424</v>
          </cell>
        </row>
        <row r="566">
          <cell r="A566">
            <v>2003</v>
          </cell>
          <cell r="B566">
            <v>4</v>
          </cell>
          <cell r="C566">
            <v>1</v>
          </cell>
          <cell r="D566">
            <v>0</v>
          </cell>
          <cell r="E566">
            <v>1</v>
          </cell>
          <cell r="F566" t="str">
            <v>USD</v>
          </cell>
          <cell r="G566">
            <v>0</v>
          </cell>
          <cell r="H566">
            <v>7449376</v>
          </cell>
          <cell r="I566">
            <v>50</v>
          </cell>
          <cell r="J566" t="str">
            <v>АКБ "Эсхата"</v>
          </cell>
          <cell r="K566">
            <v>0</v>
          </cell>
          <cell r="L566">
            <v>7449376</v>
          </cell>
          <cell r="M566">
            <v>1</v>
          </cell>
          <cell r="N566">
            <v>0</v>
          </cell>
        </row>
        <row r="567">
          <cell r="A567">
            <v>2003</v>
          </cell>
          <cell r="B567">
            <v>4</v>
          </cell>
          <cell r="C567">
            <v>1</v>
          </cell>
          <cell r="D567">
            <v>0</v>
          </cell>
          <cell r="E567">
            <v>1</v>
          </cell>
          <cell r="F567" t="str">
            <v>RUR</v>
          </cell>
          <cell r="G567">
            <v>0</v>
          </cell>
          <cell r="H567">
            <v>595284</v>
          </cell>
          <cell r="I567">
            <v>14</v>
          </cell>
          <cell r="J567" t="str">
            <v>АКБ "Эсхата"</v>
          </cell>
          <cell r="K567">
            <v>0</v>
          </cell>
          <cell r="L567">
            <v>581530.0190738374</v>
          </cell>
          <cell r="M567">
            <v>0.9768950938944058</v>
          </cell>
          <cell r="N567">
            <v>0</v>
          </cell>
        </row>
        <row r="568">
          <cell r="A568">
            <v>2003</v>
          </cell>
          <cell r="B568">
            <v>4</v>
          </cell>
          <cell r="C568">
            <v>1</v>
          </cell>
          <cell r="D568">
            <v>0</v>
          </cell>
          <cell r="E568">
            <v>1</v>
          </cell>
          <cell r="F568" t="str">
            <v>EURO</v>
          </cell>
          <cell r="G568">
            <v>0</v>
          </cell>
          <cell r="H568">
            <v>414</v>
          </cell>
          <cell r="I568">
            <v>1</v>
          </cell>
          <cell r="J568" t="str">
            <v>АКБ "Эсхата"</v>
          </cell>
          <cell r="K568">
            <v>0</v>
          </cell>
          <cell r="L568">
            <v>391.8428047153025</v>
          </cell>
          <cell r="M568">
            <v>0.9464802046263345</v>
          </cell>
          <cell r="N568">
            <v>0</v>
          </cell>
        </row>
        <row r="569">
          <cell r="A569">
            <v>2003</v>
          </cell>
          <cell r="B569">
            <v>4</v>
          </cell>
          <cell r="C569">
            <v>1</v>
          </cell>
          <cell r="D569">
            <v>0</v>
          </cell>
          <cell r="E569">
            <v>2</v>
          </cell>
          <cell r="F569" t="str">
            <v>USD</v>
          </cell>
          <cell r="G569">
            <v>0</v>
          </cell>
          <cell r="H569">
            <v>885082</v>
          </cell>
          <cell r="I569">
            <v>6</v>
          </cell>
          <cell r="J569" t="str">
            <v>АКБ "Эсхата"</v>
          </cell>
          <cell r="K569">
            <v>0</v>
          </cell>
          <cell r="L569">
            <v>885082</v>
          </cell>
          <cell r="M569">
            <v>1</v>
          </cell>
          <cell r="N569">
            <v>0</v>
          </cell>
        </row>
        <row r="570">
          <cell r="A570">
            <v>2003</v>
          </cell>
          <cell r="B570">
            <v>4</v>
          </cell>
          <cell r="C570">
            <v>1</v>
          </cell>
          <cell r="D570">
            <v>0</v>
          </cell>
          <cell r="E570">
            <v>2</v>
          </cell>
          <cell r="F570" t="str">
            <v>RUR</v>
          </cell>
          <cell r="G570">
            <v>0</v>
          </cell>
          <cell r="H570">
            <v>103999</v>
          </cell>
          <cell r="I570">
            <v>2</v>
          </cell>
          <cell r="J570" t="str">
            <v>АКБ "Эсхата"</v>
          </cell>
          <cell r="K570">
            <v>0</v>
          </cell>
          <cell r="L570">
            <v>101596.1128699243</v>
          </cell>
          <cell r="M570">
            <v>0.9768950938944058</v>
          </cell>
          <cell r="N570">
            <v>0</v>
          </cell>
        </row>
        <row r="571">
          <cell r="A571">
            <v>2003</v>
          </cell>
          <cell r="B571">
            <v>4</v>
          </cell>
          <cell r="C571">
            <v>1</v>
          </cell>
          <cell r="D571">
            <v>0</v>
          </cell>
          <cell r="E571">
            <v>1</v>
          </cell>
          <cell r="F571" t="str">
            <v>TJS</v>
          </cell>
          <cell r="G571">
            <v>0.5</v>
          </cell>
          <cell r="H571">
            <v>7780695</v>
          </cell>
          <cell r="I571">
            <v>200</v>
          </cell>
          <cell r="J571" t="str">
            <v>АОЗТ "Кафолат"</v>
          </cell>
          <cell r="K571">
            <v>3890347.5</v>
          </cell>
          <cell r="L571">
            <v>7780695</v>
          </cell>
          <cell r="M571">
            <v>1</v>
          </cell>
          <cell r="N571">
            <v>3890347.5</v>
          </cell>
        </row>
        <row r="572">
          <cell r="A572">
            <v>2003</v>
          </cell>
          <cell r="B572">
            <v>4</v>
          </cell>
          <cell r="C572">
            <v>1</v>
          </cell>
          <cell r="D572">
            <v>0</v>
          </cell>
          <cell r="E572">
            <v>2</v>
          </cell>
          <cell r="F572" t="str">
            <v>TJS</v>
          </cell>
          <cell r="G572">
            <v>0.5</v>
          </cell>
          <cell r="H572">
            <v>820794</v>
          </cell>
          <cell r="I572">
            <v>146</v>
          </cell>
          <cell r="J572" t="str">
            <v>АОЗТ "Кафолат"</v>
          </cell>
          <cell r="K572">
            <v>410397</v>
          </cell>
          <cell r="L572">
            <v>820794</v>
          </cell>
          <cell r="M572">
            <v>1</v>
          </cell>
          <cell r="N572">
            <v>410397</v>
          </cell>
        </row>
        <row r="573">
          <cell r="A573">
            <v>2003</v>
          </cell>
          <cell r="B573">
            <v>4</v>
          </cell>
          <cell r="C573">
            <v>2</v>
          </cell>
          <cell r="D573">
            <v>180</v>
          </cell>
          <cell r="E573">
            <v>2</v>
          </cell>
          <cell r="F573" t="str">
            <v>TJS</v>
          </cell>
          <cell r="G573">
            <v>20</v>
          </cell>
          <cell r="H573">
            <v>6400</v>
          </cell>
          <cell r="I573">
            <v>2</v>
          </cell>
          <cell r="J573" t="str">
            <v>АОЗТ "Кафолат"</v>
          </cell>
          <cell r="K573">
            <v>128000</v>
          </cell>
          <cell r="L573">
            <v>6400</v>
          </cell>
          <cell r="M573">
            <v>1</v>
          </cell>
          <cell r="N573">
            <v>128000</v>
          </cell>
        </row>
        <row r="574">
          <cell r="A574">
            <v>2003</v>
          </cell>
          <cell r="B574">
            <v>4</v>
          </cell>
          <cell r="C574">
            <v>2</v>
          </cell>
          <cell r="D574">
            <v>0</v>
          </cell>
          <cell r="E574">
            <v>1</v>
          </cell>
          <cell r="F574" t="str">
            <v>TJS</v>
          </cell>
          <cell r="G574">
            <v>12</v>
          </cell>
          <cell r="H574">
            <v>10133</v>
          </cell>
          <cell r="I574">
            <v>2</v>
          </cell>
          <cell r="J574" t="str">
            <v>АОЗТ "Кафолат"</v>
          </cell>
          <cell r="K574">
            <v>121596</v>
          </cell>
          <cell r="L574">
            <v>10133</v>
          </cell>
          <cell r="M574">
            <v>1</v>
          </cell>
          <cell r="N574">
            <v>121596</v>
          </cell>
        </row>
        <row r="575">
          <cell r="A575">
            <v>2003</v>
          </cell>
          <cell r="B575">
            <v>4</v>
          </cell>
          <cell r="C575">
            <v>2</v>
          </cell>
          <cell r="D575">
            <v>360</v>
          </cell>
          <cell r="E575">
            <v>1</v>
          </cell>
          <cell r="F575" t="str">
            <v>TJS</v>
          </cell>
          <cell r="G575">
            <v>24</v>
          </cell>
          <cell r="H575">
            <v>5376</v>
          </cell>
          <cell r="I575">
            <v>2</v>
          </cell>
          <cell r="J575" t="str">
            <v>АОЗТ "Кафолат"</v>
          </cell>
          <cell r="K575">
            <v>129024</v>
          </cell>
          <cell r="L575">
            <v>5376</v>
          </cell>
          <cell r="M575">
            <v>1</v>
          </cell>
          <cell r="N575">
            <v>129024</v>
          </cell>
        </row>
        <row r="576">
          <cell r="A576">
            <v>2003</v>
          </cell>
          <cell r="B576">
            <v>4</v>
          </cell>
          <cell r="C576">
            <v>3</v>
          </cell>
          <cell r="D576">
            <v>0</v>
          </cell>
          <cell r="E576">
            <v>1</v>
          </cell>
          <cell r="F576" t="str">
            <v>TJS</v>
          </cell>
          <cell r="G576">
            <v>0.5</v>
          </cell>
          <cell r="H576">
            <v>1000</v>
          </cell>
          <cell r="I576">
            <v>2</v>
          </cell>
          <cell r="J576" t="str">
            <v>АОЗТ "Кафолат"</v>
          </cell>
          <cell r="K576">
            <v>500</v>
          </cell>
          <cell r="L576">
            <v>1000</v>
          </cell>
          <cell r="M576">
            <v>1</v>
          </cell>
          <cell r="N576">
            <v>500</v>
          </cell>
        </row>
        <row r="577">
          <cell r="A577">
            <v>2003</v>
          </cell>
          <cell r="B577">
            <v>4</v>
          </cell>
          <cell r="C577">
            <v>3</v>
          </cell>
          <cell r="D577">
            <v>0</v>
          </cell>
          <cell r="E577">
            <v>2</v>
          </cell>
          <cell r="F577" t="str">
            <v>TJS</v>
          </cell>
          <cell r="G577">
            <v>0.5</v>
          </cell>
          <cell r="H577">
            <v>22413</v>
          </cell>
          <cell r="I577">
            <v>10</v>
          </cell>
          <cell r="J577" t="str">
            <v>АОЗТ "Кафолат"</v>
          </cell>
          <cell r="K577">
            <v>11206.5</v>
          </cell>
          <cell r="L577">
            <v>22413</v>
          </cell>
          <cell r="M577">
            <v>1</v>
          </cell>
          <cell r="N577">
            <v>11206.5</v>
          </cell>
        </row>
        <row r="578">
          <cell r="A578">
            <v>2003</v>
          </cell>
          <cell r="B578">
            <v>4</v>
          </cell>
          <cell r="C578">
            <v>2</v>
          </cell>
          <cell r="D578">
            <v>360</v>
          </cell>
          <cell r="E578">
            <v>2</v>
          </cell>
          <cell r="F578" t="str">
            <v>USD</v>
          </cell>
          <cell r="G578">
            <v>20</v>
          </cell>
          <cell r="H578">
            <v>13905</v>
          </cell>
          <cell r="I578">
            <v>2</v>
          </cell>
          <cell r="J578" t="str">
            <v>АОЗТ "Кафолат"</v>
          </cell>
          <cell r="K578">
            <v>278100</v>
          </cell>
          <cell r="L578">
            <v>13905</v>
          </cell>
          <cell r="M578">
            <v>1</v>
          </cell>
          <cell r="N578">
            <v>278100</v>
          </cell>
        </row>
        <row r="579">
          <cell r="A579">
            <v>2003</v>
          </cell>
          <cell r="B579">
            <v>4</v>
          </cell>
          <cell r="C579">
            <v>2</v>
          </cell>
          <cell r="D579">
            <v>750</v>
          </cell>
          <cell r="E579">
            <v>2</v>
          </cell>
          <cell r="F579" t="str">
            <v>USD</v>
          </cell>
          <cell r="G579">
            <v>22</v>
          </cell>
          <cell r="H579">
            <v>30900</v>
          </cell>
          <cell r="I579">
            <v>1</v>
          </cell>
          <cell r="J579" t="str">
            <v>АОЗТ "Кафолат"</v>
          </cell>
          <cell r="K579">
            <v>679800</v>
          </cell>
          <cell r="L579">
            <v>30900</v>
          </cell>
          <cell r="M579">
            <v>1</v>
          </cell>
          <cell r="N579">
            <v>679800</v>
          </cell>
        </row>
        <row r="580">
          <cell r="A580">
            <v>2003</v>
          </cell>
          <cell r="B580">
            <v>4</v>
          </cell>
          <cell r="C580">
            <v>2</v>
          </cell>
          <cell r="D580">
            <v>30</v>
          </cell>
          <cell r="E580">
            <v>2</v>
          </cell>
          <cell r="F580" t="str">
            <v>USD</v>
          </cell>
          <cell r="G580">
            <v>0.03</v>
          </cell>
          <cell r="H580">
            <v>2077</v>
          </cell>
          <cell r="I580">
            <v>1</v>
          </cell>
          <cell r="J580" t="str">
            <v>АОЗТ "Кафолат"</v>
          </cell>
          <cell r="K580">
            <v>62.309999999999995</v>
          </cell>
          <cell r="L580">
            <v>2077</v>
          </cell>
          <cell r="M580">
            <v>1</v>
          </cell>
          <cell r="N580">
            <v>62.309999999999995</v>
          </cell>
        </row>
        <row r="581">
          <cell r="A581">
            <v>2003</v>
          </cell>
          <cell r="B581">
            <v>4</v>
          </cell>
          <cell r="C581">
            <v>1</v>
          </cell>
          <cell r="D581">
            <v>180</v>
          </cell>
          <cell r="E581">
            <v>2</v>
          </cell>
          <cell r="F581" t="str">
            <v>USD</v>
          </cell>
          <cell r="G581">
            <v>22</v>
          </cell>
          <cell r="H581">
            <v>479</v>
          </cell>
          <cell r="I581">
            <v>1</v>
          </cell>
          <cell r="J581" t="str">
            <v>АОЗТ "Кафолат"</v>
          </cell>
          <cell r="K581">
            <v>10538</v>
          </cell>
          <cell r="L581">
            <v>479</v>
          </cell>
          <cell r="M581">
            <v>1</v>
          </cell>
          <cell r="N581">
            <v>10538</v>
          </cell>
        </row>
        <row r="582">
          <cell r="A582">
            <v>2003</v>
          </cell>
          <cell r="B582">
            <v>4</v>
          </cell>
          <cell r="C582">
            <v>1</v>
          </cell>
          <cell r="D582">
            <v>0</v>
          </cell>
          <cell r="E582">
            <v>2</v>
          </cell>
          <cell r="F582" t="str">
            <v>USD</v>
          </cell>
          <cell r="G582">
            <v>0</v>
          </cell>
          <cell r="H582">
            <v>3626</v>
          </cell>
          <cell r="I582">
            <v>2</v>
          </cell>
          <cell r="J582" t="str">
            <v>АОЗТ "Кафолат"</v>
          </cell>
          <cell r="K582">
            <v>0</v>
          </cell>
          <cell r="L582">
            <v>3626</v>
          </cell>
          <cell r="M582">
            <v>1</v>
          </cell>
          <cell r="N582">
            <v>0</v>
          </cell>
        </row>
        <row r="583">
          <cell r="A583">
            <v>2003</v>
          </cell>
          <cell r="B583">
            <v>4</v>
          </cell>
          <cell r="C583">
            <v>3</v>
          </cell>
          <cell r="D583">
            <v>0</v>
          </cell>
          <cell r="E583">
            <v>2</v>
          </cell>
          <cell r="F583" t="str">
            <v>USD</v>
          </cell>
          <cell r="G583">
            <v>0</v>
          </cell>
          <cell r="H583">
            <v>27</v>
          </cell>
          <cell r="I583">
            <v>10</v>
          </cell>
          <cell r="J583" t="str">
            <v>АОЗТ "Кафолат"</v>
          </cell>
          <cell r="K583">
            <v>0</v>
          </cell>
          <cell r="L583">
            <v>27</v>
          </cell>
          <cell r="M583">
            <v>1</v>
          </cell>
          <cell r="N583">
            <v>0</v>
          </cell>
        </row>
        <row r="584">
          <cell r="A584">
            <v>2003</v>
          </cell>
          <cell r="B584">
            <v>4</v>
          </cell>
          <cell r="C584">
            <v>1</v>
          </cell>
          <cell r="D584">
            <v>0</v>
          </cell>
          <cell r="E584">
            <v>1</v>
          </cell>
          <cell r="F584" t="str">
            <v>USD</v>
          </cell>
          <cell r="G584">
            <v>0</v>
          </cell>
          <cell r="H584">
            <v>1465461</v>
          </cell>
          <cell r="I584">
            <v>41</v>
          </cell>
          <cell r="J584" t="str">
            <v>АОЗТ "Кафолат"</v>
          </cell>
          <cell r="K584">
            <v>0</v>
          </cell>
          <cell r="L584">
            <v>1465461</v>
          </cell>
          <cell r="M584">
            <v>1</v>
          </cell>
          <cell r="N584">
            <v>0</v>
          </cell>
        </row>
        <row r="585">
          <cell r="A585">
            <v>2003</v>
          </cell>
          <cell r="B585">
            <v>4</v>
          </cell>
          <cell r="C585">
            <v>1</v>
          </cell>
          <cell r="D585">
            <v>0</v>
          </cell>
          <cell r="E585">
            <v>1</v>
          </cell>
          <cell r="F585" t="str">
            <v>TJS</v>
          </cell>
          <cell r="G585">
            <v>0</v>
          </cell>
          <cell r="H585">
            <v>241715</v>
          </cell>
          <cell r="I585">
            <v>9</v>
          </cell>
          <cell r="J585" t="str">
            <v>АОЗТ "Олимп"</v>
          </cell>
          <cell r="K585">
            <v>0</v>
          </cell>
          <cell r="L585">
            <v>241715</v>
          </cell>
          <cell r="M585">
            <v>1</v>
          </cell>
          <cell r="N585">
            <v>0</v>
          </cell>
        </row>
        <row r="586">
          <cell r="A586">
            <v>2003</v>
          </cell>
          <cell r="B586">
            <v>4</v>
          </cell>
          <cell r="C586">
            <v>1</v>
          </cell>
          <cell r="D586">
            <v>0</v>
          </cell>
          <cell r="E586">
            <v>1</v>
          </cell>
          <cell r="F586" t="str">
            <v>USD</v>
          </cell>
          <cell r="G586">
            <v>0</v>
          </cell>
          <cell r="H586">
            <v>140</v>
          </cell>
          <cell r="I586">
            <v>3</v>
          </cell>
          <cell r="J586" t="str">
            <v>АОЗТ "Олимп"</v>
          </cell>
          <cell r="K586">
            <v>0</v>
          </cell>
          <cell r="L586">
            <v>140</v>
          </cell>
          <cell r="M586">
            <v>1</v>
          </cell>
          <cell r="N586">
            <v>0</v>
          </cell>
        </row>
        <row r="587">
          <cell r="A587">
            <v>2003</v>
          </cell>
          <cell r="B587">
            <v>4</v>
          </cell>
          <cell r="C587">
            <v>3</v>
          </cell>
          <cell r="D587">
            <v>0</v>
          </cell>
          <cell r="E587">
            <v>2</v>
          </cell>
          <cell r="F587" t="str">
            <v>TJS</v>
          </cell>
          <cell r="G587">
            <v>2</v>
          </cell>
          <cell r="H587">
            <v>1038</v>
          </cell>
          <cell r="I587">
            <v>21</v>
          </cell>
          <cell r="J587" t="str">
            <v>АОЗТ "Олимп"</v>
          </cell>
          <cell r="K587">
            <v>2076</v>
          </cell>
          <cell r="L587">
            <v>1038</v>
          </cell>
          <cell r="M587">
            <v>1</v>
          </cell>
          <cell r="N587">
            <v>2076</v>
          </cell>
        </row>
        <row r="588">
          <cell r="A588">
            <v>2003</v>
          </cell>
          <cell r="B588">
            <v>4</v>
          </cell>
          <cell r="C588">
            <v>2</v>
          </cell>
          <cell r="D588">
            <v>360</v>
          </cell>
          <cell r="E588">
            <v>2</v>
          </cell>
          <cell r="F588" t="str">
            <v>USD</v>
          </cell>
          <cell r="G588">
            <v>2</v>
          </cell>
          <cell r="H588">
            <v>55707</v>
          </cell>
          <cell r="I588">
            <v>2</v>
          </cell>
          <cell r="J588" t="str">
            <v>АОЗТ "Олимп"</v>
          </cell>
          <cell r="K588">
            <v>111414</v>
          </cell>
          <cell r="L588">
            <v>55707</v>
          </cell>
          <cell r="M588">
            <v>1</v>
          </cell>
          <cell r="N588">
            <v>111414</v>
          </cell>
        </row>
        <row r="589">
          <cell r="A589">
            <v>2003</v>
          </cell>
          <cell r="B589">
            <v>4</v>
          </cell>
          <cell r="C589">
            <v>1</v>
          </cell>
          <cell r="D589">
            <v>0</v>
          </cell>
          <cell r="E589">
            <v>1</v>
          </cell>
          <cell r="F589" t="str">
            <v>TJS</v>
          </cell>
          <cell r="G589">
            <v>0</v>
          </cell>
          <cell r="H589">
            <v>30020859</v>
          </cell>
          <cell r="I589">
            <v>418</v>
          </cell>
          <cell r="J589" t="str">
            <v>ГАКБ "Точиксодиротбонк"</v>
          </cell>
          <cell r="K589">
            <v>0</v>
          </cell>
          <cell r="L589">
            <v>30020859</v>
          </cell>
          <cell r="M589">
            <v>1</v>
          </cell>
          <cell r="N589">
            <v>0</v>
          </cell>
        </row>
        <row r="590">
          <cell r="A590">
            <v>2003</v>
          </cell>
          <cell r="B590">
            <v>4</v>
          </cell>
          <cell r="C590">
            <v>1</v>
          </cell>
          <cell r="D590">
            <v>0</v>
          </cell>
          <cell r="E590">
            <v>2</v>
          </cell>
          <cell r="F590" t="str">
            <v>TJS</v>
          </cell>
          <cell r="G590">
            <v>0</v>
          </cell>
          <cell r="H590">
            <v>40994</v>
          </cell>
          <cell r="I590">
            <v>129</v>
          </cell>
          <cell r="J590" t="str">
            <v>ГАКБ "Точиксодиротбонк"</v>
          </cell>
          <cell r="K590">
            <v>0</v>
          </cell>
          <cell r="L590">
            <v>40994</v>
          </cell>
          <cell r="M590">
            <v>1</v>
          </cell>
          <cell r="N590">
            <v>0</v>
          </cell>
        </row>
        <row r="591">
          <cell r="A591">
            <v>2003</v>
          </cell>
          <cell r="B591">
            <v>4</v>
          </cell>
          <cell r="C591">
            <v>2</v>
          </cell>
          <cell r="D591">
            <v>360</v>
          </cell>
          <cell r="E591">
            <v>2</v>
          </cell>
          <cell r="F591" t="str">
            <v>TJS</v>
          </cell>
          <cell r="G591">
            <v>36</v>
          </cell>
          <cell r="H591">
            <v>13800</v>
          </cell>
          <cell r="I591">
            <v>3</v>
          </cell>
          <cell r="J591" t="str">
            <v>ГАКБ "Точиксодиротбонк"</v>
          </cell>
          <cell r="K591">
            <v>496800</v>
          </cell>
          <cell r="L591">
            <v>13800</v>
          </cell>
          <cell r="M591">
            <v>1</v>
          </cell>
          <cell r="N591">
            <v>496800</v>
          </cell>
        </row>
        <row r="592">
          <cell r="A592">
            <v>2003</v>
          </cell>
          <cell r="B592">
            <v>4</v>
          </cell>
          <cell r="C592">
            <v>2</v>
          </cell>
          <cell r="D592">
            <v>360</v>
          </cell>
          <cell r="E592">
            <v>2</v>
          </cell>
          <cell r="F592" t="str">
            <v>TJS</v>
          </cell>
          <cell r="G592">
            <v>10</v>
          </cell>
          <cell r="H592">
            <v>605</v>
          </cell>
          <cell r="I592">
            <v>60</v>
          </cell>
          <cell r="J592" t="str">
            <v>ГАКБ "Точиксодиротбонк"</v>
          </cell>
          <cell r="K592">
            <v>6050</v>
          </cell>
          <cell r="L592">
            <v>605</v>
          </cell>
          <cell r="M592">
            <v>1</v>
          </cell>
          <cell r="N592">
            <v>6050</v>
          </cell>
        </row>
        <row r="593">
          <cell r="A593">
            <v>2003</v>
          </cell>
          <cell r="B593">
            <v>4</v>
          </cell>
          <cell r="C593">
            <v>2</v>
          </cell>
          <cell r="D593">
            <v>360</v>
          </cell>
          <cell r="E593">
            <v>2</v>
          </cell>
          <cell r="F593" t="str">
            <v>TJS</v>
          </cell>
          <cell r="G593">
            <v>22</v>
          </cell>
          <cell r="H593">
            <v>333</v>
          </cell>
          <cell r="I593">
            <v>8</v>
          </cell>
          <cell r="J593" t="str">
            <v>ГАКБ "Точиксодиротбонк"</v>
          </cell>
          <cell r="K593">
            <v>7326</v>
          </cell>
          <cell r="L593">
            <v>333</v>
          </cell>
          <cell r="M593">
            <v>1</v>
          </cell>
          <cell r="N593">
            <v>7326</v>
          </cell>
        </row>
        <row r="594">
          <cell r="A594">
            <v>2003</v>
          </cell>
          <cell r="B594">
            <v>4</v>
          </cell>
          <cell r="C594">
            <v>2</v>
          </cell>
          <cell r="D594">
            <v>360</v>
          </cell>
          <cell r="E594">
            <v>1</v>
          </cell>
          <cell r="F594" t="str">
            <v>TJS</v>
          </cell>
          <cell r="G594">
            <v>12</v>
          </cell>
          <cell r="H594">
            <v>9000</v>
          </cell>
          <cell r="I594">
            <v>1</v>
          </cell>
          <cell r="J594" t="str">
            <v>ГАКБ "Точиксодиротбонк"</v>
          </cell>
          <cell r="K594">
            <v>108000</v>
          </cell>
          <cell r="L594">
            <v>9000</v>
          </cell>
          <cell r="M594">
            <v>1</v>
          </cell>
          <cell r="N594">
            <v>108000</v>
          </cell>
        </row>
        <row r="595">
          <cell r="A595">
            <v>2003</v>
          </cell>
          <cell r="B595">
            <v>4</v>
          </cell>
          <cell r="C595">
            <v>2</v>
          </cell>
          <cell r="D595">
            <v>90</v>
          </cell>
          <cell r="E595">
            <v>2</v>
          </cell>
          <cell r="F595" t="str">
            <v>TJS</v>
          </cell>
          <cell r="G595">
            <v>12</v>
          </cell>
          <cell r="H595">
            <v>50000</v>
          </cell>
          <cell r="I595">
            <v>1</v>
          </cell>
          <cell r="J595" t="str">
            <v>ГАКБ "Точиксодиротбонк"</v>
          </cell>
          <cell r="K595">
            <v>600000</v>
          </cell>
          <cell r="L595">
            <v>50000</v>
          </cell>
          <cell r="M595">
            <v>1</v>
          </cell>
          <cell r="N595">
            <v>600000</v>
          </cell>
        </row>
        <row r="596">
          <cell r="A596">
            <v>2003</v>
          </cell>
          <cell r="B596">
            <v>4</v>
          </cell>
          <cell r="C596">
            <v>2</v>
          </cell>
          <cell r="D596">
            <v>601</v>
          </cell>
          <cell r="E596">
            <v>2</v>
          </cell>
          <cell r="F596" t="str">
            <v>TJS</v>
          </cell>
          <cell r="G596">
            <v>30</v>
          </cell>
          <cell r="H596">
            <v>3244</v>
          </cell>
          <cell r="I596">
            <v>15</v>
          </cell>
          <cell r="J596" t="str">
            <v>ГАКБ "Точиксодиротбонк"</v>
          </cell>
          <cell r="K596">
            <v>97320</v>
          </cell>
          <cell r="L596">
            <v>3244</v>
          </cell>
          <cell r="M596">
            <v>1</v>
          </cell>
          <cell r="N596">
            <v>97320</v>
          </cell>
        </row>
        <row r="597">
          <cell r="A597">
            <v>2003</v>
          </cell>
          <cell r="B597">
            <v>4</v>
          </cell>
          <cell r="C597">
            <v>3</v>
          </cell>
          <cell r="D597">
            <v>360</v>
          </cell>
          <cell r="E597">
            <v>2</v>
          </cell>
          <cell r="F597" t="str">
            <v>TJS</v>
          </cell>
          <cell r="G597">
            <v>25</v>
          </cell>
          <cell r="H597">
            <v>581</v>
          </cell>
          <cell r="I597">
            <v>5</v>
          </cell>
          <cell r="J597" t="str">
            <v>ГАКБ "Точиксодиротбонк"</v>
          </cell>
          <cell r="K597">
            <v>14525</v>
          </cell>
          <cell r="L597">
            <v>581</v>
          </cell>
          <cell r="M597">
            <v>1</v>
          </cell>
          <cell r="N597">
            <v>14525</v>
          </cell>
        </row>
        <row r="598">
          <cell r="A598">
            <v>2003</v>
          </cell>
          <cell r="B598">
            <v>4</v>
          </cell>
          <cell r="C598">
            <v>3</v>
          </cell>
          <cell r="D598">
            <v>360</v>
          </cell>
          <cell r="E598">
            <v>2</v>
          </cell>
          <cell r="F598" t="str">
            <v>TJS</v>
          </cell>
          <cell r="G598">
            <v>20</v>
          </cell>
          <cell r="H598">
            <v>12</v>
          </cell>
          <cell r="I598">
            <v>1</v>
          </cell>
          <cell r="J598" t="str">
            <v>ГАКБ "Точиксодиротбонк"</v>
          </cell>
          <cell r="K598">
            <v>240</v>
          </cell>
          <cell r="L598">
            <v>12</v>
          </cell>
          <cell r="M598">
            <v>1</v>
          </cell>
          <cell r="N598">
            <v>240</v>
          </cell>
        </row>
        <row r="599">
          <cell r="A599">
            <v>2003</v>
          </cell>
          <cell r="B599">
            <v>4</v>
          </cell>
          <cell r="C599">
            <v>1</v>
          </cell>
          <cell r="D599">
            <v>0</v>
          </cell>
          <cell r="E599">
            <v>1</v>
          </cell>
          <cell r="F599" t="str">
            <v>USD</v>
          </cell>
          <cell r="G599">
            <v>0</v>
          </cell>
          <cell r="H599">
            <v>24377267</v>
          </cell>
          <cell r="I599">
            <v>337</v>
          </cell>
          <cell r="J599" t="str">
            <v>ГАКБ "Точиксодиротбонк"</v>
          </cell>
          <cell r="K599">
            <v>0</v>
          </cell>
          <cell r="L599">
            <v>24377267</v>
          </cell>
          <cell r="M599">
            <v>1</v>
          </cell>
          <cell r="N599">
            <v>0</v>
          </cell>
        </row>
        <row r="600">
          <cell r="A600">
            <v>2003</v>
          </cell>
          <cell r="B600">
            <v>4</v>
          </cell>
          <cell r="C600">
            <v>1</v>
          </cell>
          <cell r="D600">
            <v>0</v>
          </cell>
          <cell r="E600">
            <v>2</v>
          </cell>
          <cell r="F600" t="str">
            <v>USD</v>
          </cell>
          <cell r="G600">
            <v>0</v>
          </cell>
          <cell r="H600">
            <v>1090992</v>
          </cell>
          <cell r="I600">
            <v>56</v>
          </cell>
          <cell r="J600" t="str">
            <v>ГАКБ "Точиксодиротбонк"</v>
          </cell>
          <cell r="K600">
            <v>0</v>
          </cell>
          <cell r="L600">
            <v>1090992</v>
          </cell>
          <cell r="M600">
            <v>1</v>
          </cell>
          <cell r="N600">
            <v>0</v>
          </cell>
        </row>
        <row r="601">
          <cell r="A601">
            <v>2003</v>
          </cell>
          <cell r="B601">
            <v>4</v>
          </cell>
          <cell r="C601">
            <v>2</v>
          </cell>
          <cell r="D601">
            <v>1080</v>
          </cell>
          <cell r="E601">
            <v>2</v>
          </cell>
          <cell r="F601" t="str">
            <v>USD</v>
          </cell>
          <cell r="G601">
            <v>18</v>
          </cell>
          <cell r="H601">
            <v>3090</v>
          </cell>
          <cell r="I601">
            <v>1</v>
          </cell>
          <cell r="J601" t="str">
            <v>ГАКБ "Точиксодиротбонк"</v>
          </cell>
          <cell r="K601">
            <v>55620</v>
          </cell>
          <cell r="L601">
            <v>3090</v>
          </cell>
          <cell r="M601">
            <v>1</v>
          </cell>
          <cell r="N601">
            <v>55620</v>
          </cell>
        </row>
        <row r="602">
          <cell r="A602">
            <v>2003</v>
          </cell>
          <cell r="B602">
            <v>4</v>
          </cell>
          <cell r="C602">
            <v>2</v>
          </cell>
          <cell r="D602">
            <v>601</v>
          </cell>
          <cell r="E602">
            <v>2</v>
          </cell>
          <cell r="F602" t="str">
            <v>USD</v>
          </cell>
          <cell r="G602">
            <v>20</v>
          </cell>
          <cell r="H602">
            <v>1545</v>
          </cell>
          <cell r="I602">
            <v>1</v>
          </cell>
          <cell r="J602" t="str">
            <v>ГАКБ "Точиксодиротбонк"</v>
          </cell>
          <cell r="K602">
            <v>30900</v>
          </cell>
          <cell r="L602">
            <v>1545</v>
          </cell>
          <cell r="M602">
            <v>1</v>
          </cell>
          <cell r="N602">
            <v>30900</v>
          </cell>
        </row>
        <row r="603">
          <cell r="A603">
            <v>2003</v>
          </cell>
          <cell r="B603">
            <v>4</v>
          </cell>
          <cell r="C603">
            <v>2</v>
          </cell>
          <cell r="D603">
            <v>360</v>
          </cell>
          <cell r="E603">
            <v>2</v>
          </cell>
          <cell r="F603" t="str">
            <v>USD</v>
          </cell>
          <cell r="G603">
            <v>12</v>
          </cell>
          <cell r="H603">
            <v>2719</v>
          </cell>
          <cell r="I603">
            <v>1</v>
          </cell>
          <cell r="J603" t="str">
            <v>ГАКБ "Точиксодиротбонк"</v>
          </cell>
          <cell r="K603">
            <v>32628</v>
          </cell>
          <cell r="L603">
            <v>2719</v>
          </cell>
          <cell r="M603">
            <v>1</v>
          </cell>
          <cell r="N603">
            <v>32628</v>
          </cell>
        </row>
        <row r="604">
          <cell r="A604">
            <v>2003</v>
          </cell>
          <cell r="B604">
            <v>4</v>
          </cell>
          <cell r="C604">
            <v>2</v>
          </cell>
          <cell r="D604">
            <v>360</v>
          </cell>
          <cell r="E604">
            <v>2</v>
          </cell>
          <cell r="F604" t="str">
            <v>USD</v>
          </cell>
          <cell r="G604">
            <v>18</v>
          </cell>
          <cell r="H604">
            <v>60033</v>
          </cell>
          <cell r="I604">
            <v>6</v>
          </cell>
          <cell r="J604" t="str">
            <v>ГАКБ "Точиксодиротбонк"</v>
          </cell>
          <cell r="K604">
            <v>1080594</v>
          </cell>
          <cell r="L604">
            <v>60033</v>
          </cell>
          <cell r="M604">
            <v>1</v>
          </cell>
          <cell r="N604">
            <v>1080594</v>
          </cell>
        </row>
        <row r="605">
          <cell r="A605">
            <v>2003</v>
          </cell>
          <cell r="B605">
            <v>4</v>
          </cell>
          <cell r="C605">
            <v>2</v>
          </cell>
          <cell r="D605">
            <v>360</v>
          </cell>
          <cell r="E605">
            <v>2</v>
          </cell>
          <cell r="F605" t="str">
            <v>USD</v>
          </cell>
          <cell r="G605">
            <v>20</v>
          </cell>
          <cell r="H605">
            <v>1304997</v>
          </cell>
          <cell r="I605">
            <v>2</v>
          </cell>
          <cell r="J605" t="str">
            <v>ГАКБ "Точиксодиротбонк"</v>
          </cell>
          <cell r="K605">
            <v>26099940</v>
          </cell>
          <cell r="L605">
            <v>1304997</v>
          </cell>
          <cell r="M605">
            <v>1</v>
          </cell>
          <cell r="N605">
            <v>26099940</v>
          </cell>
        </row>
        <row r="606">
          <cell r="A606">
            <v>2003</v>
          </cell>
          <cell r="B606">
            <v>4</v>
          </cell>
          <cell r="C606">
            <v>2</v>
          </cell>
          <cell r="D606">
            <v>360</v>
          </cell>
          <cell r="E606">
            <v>2</v>
          </cell>
          <cell r="F606" t="str">
            <v>USD</v>
          </cell>
          <cell r="G606">
            <v>15</v>
          </cell>
          <cell r="H606">
            <v>26402</v>
          </cell>
          <cell r="I606">
            <v>2</v>
          </cell>
          <cell r="J606" t="str">
            <v>ГАКБ "Точиксодиротбонк"</v>
          </cell>
          <cell r="K606">
            <v>396030</v>
          </cell>
          <cell r="L606">
            <v>26402</v>
          </cell>
          <cell r="M606">
            <v>1</v>
          </cell>
          <cell r="N606">
            <v>396030</v>
          </cell>
        </row>
        <row r="607">
          <cell r="A607">
            <v>2003</v>
          </cell>
          <cell r="B607">
            <v>4</v>
          </cell>
          <cell r="C607">
            <v>3</v>
          </cell>
          <cell r="D607">
            <v>360</v>
          </cell>
          <cell r="E607">
            <v>2</v>
          </cell>
          <cell r="F607" t="str">
            <v>USD</v>
          </cell>
          <cell r="G607">
            <v>20</v>
          </cell>
          <cell r="H607">
            <v>130718</v>
          </cell>
          <cell r="I607">
            <v>3</v>
          </cell>
          <cell r="J607" t="str">
            <v>ГАКБ "Точиксодиротбонк"</v>
          </cell>
          <cell r="K607">
            <v>2614360</v>
          </cell>
          <cell r="L607">
            <v>130718</v>
          </cell>
          <cell r="M607">
            <v>1</v>
          </cell>
          <cell r="N607">
            <v>2614360</v>
          </cell>
        </row>
        <row r="608">
          <cell r="A608">
            <v>2003</v>
          </cell>
          <cell r="B608">
            <v>4</v>
          </cell>
          <cell r="C608">
            <v>3</v>
          </cell>
          <cell r="D608">
            <v>0</v>
          </cell>
          <cell r="E608">
            <v>2</v>
          </cell>
          <cell r="F608" t="str">
            <v>USD</v>
          </cell>
          <cell r="G608">
            <v>20</v>
          </cell>
          <cell r="H608">
            <v>1356</v>
          </cell>
          <cell r="I608">
            <v>1</v>
          </cell>
          <cell r="J608" t="str">
            <v>ГАКБ "Точиксодиротбонк"</v>
          </cell>
          <cell r="K608">
            <v>27120</v>
          </cell>
          <cell r="L608">
            <v>1356</v>
          </cell>
          <cell r="M608">
            <v>1</v>
          </cell>
          <cell r="N608">
            <v>27120</v>
          </cell>
        </row>
        <row r="609">
          <cell r="A609">
            <v>2003</v>
          </cell>
          <cell r="B609">
            <v>4</v>
          </cell>
          <cell r="C609">
            <v>2</v>
          </cell>
          <cell r="D609">
            <v>720</v>
          </cell>
          <cell r="E609">
            <v>2</v>
          </cell>
          <cell r="F609" t="str">
            <v>USD</v>
          </cell>
          <cell r="G609">
            <v>20</v>
          </cell>
          <cell r="H609">
            <v>207643</v>
          </cell>
          <cell r="I609">
            <v>5</v>
          </cell>
          <cell r="J609" t="str">
            <v>ГАКБ "Точиксодиротбонк"</v>
          </cell>
          <cell r="K609">
            <v>4152860</v>
          </cell>
          <cell r="L609">
            <v>207643</v>
          </cell>
          <cell r="M609">
            <v>1</v>
          </cell>
          <cell r="N609">
            <v>4152860</v>
          </cell>
        </row>
        <row r="610">
          <cell r="A610">
            <v>2003</v>
          </cell>
          <cell r="B610">
            <v>4</v>
          </cell>
          <cell r="C610">
            <v>2</v>
          </cell>
          <cell r="D610">
            <v>180</v>
          </cell>
          <cell r="E610">
            <v>2</v>
          </cell>
          <cell r="F610" t="str">
            <v>USD</v>
          </cell>
          <cell r="G610">
            <v>12</v>
          </cell>
          <cell r="H610">
            <v>378</v>
          </cell>
          <cell r="I610">
            <v>1</v>
          </cell>
          <cell r="J610" t="str">
            <v>ГАКБ "Точиксодиротбонк"</v>
          </cell>
          <cell r="K610">
            <v>4536</v>
          </cell>
          <cell r="L610">
            <v>378</v>
          </cell>
          <cell r="M610">
            <v>1</v>
          </cell>
          <cell r="N610">
            <v>4536</v>
          </cell>
        </row>
        <row r="611">
          <cell r="A611">
            <v>2003</v>
          </cell>
          <cell r="B611">
            <v>4</v>
          </cell>
          <cell r="C611">
            <v>2</v>
          </cell>
          <cell r="D611">
            <v>600</v>
          </cell>
          <cell r="E611">
            <v>2</v>
          </cell>
          <cell r="F611" t="str">
            <v>USD</v>
          </cell>
          <cell r="G611">
            <v>20</v>
          </cell>
          <cell r="H611">
            <v>35838</v>
          </cell>
          <cell r="I611">
            <v>1</v>
          </cell>
          <cell r="J611" t="str">
            <v>ГАКБ "Точиксодиротбонк"</v>
          </cell>
          <cell r="K611">
            <v>716760</v>
          </cell>
          <cell r="L611">
            <v>35838</v>
          </cell>
          <cell r="M611">
            <v>1</v>
          </cell>
          <cell r="N611">
            <v>716760</v>
          </cell>
        </row>
        <row r="612">
          <cell r="A612">
            <v>2003</v>
          </cell>
          <cell r="B612">
            <v>4</v>
          </cell>
          <cell r="C612">
            <v>2</v>
          </cell>
          <cell r="D612">
            <v>360</v>
          </cell>
          <cell r="E612">
            <v>2</v>
          </cell>
          <cell r="F612" t="str">
            <v>USD</v>
          </cell>
          <cell r="G612">
            <v>10.5</v>
          </cell>
          <cell r="H612">
            <v>772</v>
          </cell>
          <cell r="I612">
            <v>2</v>
          </cell>
          <cell r="J612" t="str">
            <v>ГАКБ "Точиксодиротбонк"</v>
          </cell>
          <cell r="K612">
            <v>8106</v>
          </cell>
          <cell r="L612">
            <v>772</v>
          </cell>
          <cell r="M612">
            <v>1</v>
          </cell>
          <cell r="N612">
            <v>8106</v>
          </cell>
        </row>
        <row r="613">
          <cell r="A613">
            <v>2003</v>
          </cell>
          <cell r="B613">
            <v>4</v>
          </cell>
          <cell r="C613">
            <v>2</v>
          </cell>
          <cell r="D613">
            <v>90</v>
          </cell>
          <cell r="E613">
            <v>2</v>
          </cell>
          <cell r="F613" t="str">
            <v>USD</v>
          </cell>
          <cell r="G613">
            <v>6</v>
          </cell>
          <cell r="H613">
            <v>7725</v>
          </cell>
          <cell r="I613">
            <v>1</v>
          </cell>
          <cell r="J613" t="str">
            <v>ГАКБ "Точиксодиротбонк"</v>
          </cell>
          <cell r="K613">
            <v>46350</v>
          </cell>
          <cell r="L613">
            <v>7725</v>
          </cell>
          <cell r="M613">
            <v>1</v>
          </cell>
          <cell r="N613">
            <v>46350</v>
          </cell>
        </row>
        <row r="614">
          <cell r="A614">
            <v>2003</v>
          </cell>
          <cell r="B614">
            <v>4</v>
          </cell>
          <cell r="C614">
            <v>2</v>
          </cell>
          <cell r="D614">
            <v>90</v>
          </cell>
          <cell r="E614">
            <v>1</v>
          </cell>
          <cell r="F614" t="str">
            <v>USD</v>
          </cell>
          <cell r="G614">
            <v>6</v>
          </cell>
          <cell r="H614">
            <v>92700</v>
          </cell>
          <cell r="I614">
            <v>1</v>
          </cell>
          <cell r="J614" t="str">
            <v>ГАКБ "Точиксодиротбонк"</v>
          </cell>
          <cell r="K614">
            <v>556200</v>
          </cell>
          <cell r="L614">
            <v>92700</v>
          </cell>
          <cell r="M614">
            <v>1</v>
          </cell>
          <cell r="N614">
            <v>556200</v>
          </cell>
        </row>
        <row r="615">
          <cell r="A615">
            <v>2003</v>
          </cell>
          <cell r="B615">
            <v>4</v>
          </cell>
          <cell r="C615">
            <v>2</v>
          </cell>
          <cell r="D615">
            <v>120</v>
          </cell>
          <cell r="E615">
            <v>2</v>
          </cell>
          <cell r="F615" t="str">
            <v>USD</v>
          </cell>
          <cell r="G615">
            <v>6</v>
          </cell>
          <cell r="H615">
            <v>3090</v>
          </cell>
          <cell r="I615">
            <v>1</v>
          </cell>
          <cell r="J615" t="str">
            <v>ГАКБ "Точиксодиротбонк"</v>
          </cell>
          <cell r="K615">
            <v>18540</v>
          </cell>
          <cell r="L615">
            <v>3090</v>
          </cell>
          <cell r="M615">
            <v>1</v>
          </cell>
          <cell r="N615">
            <v>18540</v>
          </cell>
        </row>
        <row r="616">
          <cell r="A616">
            <v>2003</v>
          </cell>
          <cell r="B616">
            <v>4</v>
          </cell>
          <cell r="C616">
            <v>2</v>
          </cell>
          <cell r="D616">
            <v>60</v>
          </cell>
          <cell r="E616">
            <v>1</v>
          </cell>
          <cell r="F616" t="str">
            <v>USD</v>
          </cell>
          <cell r="G616">
            <v>6</v>
          </cell>
          <cell r="H616">
            <v>123600</v>
          </cell>
          <cell r="I616">
            <v>1</v>
          </cell>
          <cell r="J616" t="str">
            <v>ГАКБ "Точиксодиротбонк"</v>
          </cell>
          <cell r="K616">
            <v>741600</v>
          </cell>
          <cell r="L616">
            <v>123600</v>
          </cell>
          <cell r="M616">
            <v>1</v>
          </cell>
          <cell r="N616">
            <v>741600</v>
          </cell>
        </row>
        <row r="617">
          <cell r="A617">
            <v>2003</v>
          </cell>
          <cell r="B617">
            <v>4</v>
          </cell>
          <cell r="C617">
            <v>1</v>
          </cell>
          <cell r="D617">
            <v>0</v>
          </cell>
          <cell r="E617">
            <v>1</v>
          </cell>
          <cell r="F617" t="str">
            <v>RUR</v>
          </cell>
          <cell r="G617">
            <v>0</v>
          </cell>
          <cell r="H617">
            <v>338298</v>
          </cell>
          <cell r="I617">
            <v>20</v>
          </cell>
          <cell r="J617" t="str">
            <v>ГАКБ "Точиксодиротбонк"</v>
          </cell>
          <cell r="K617">
            <v>0</v>
          </cell>
          <cell r="L617">
            <v>330481.65647428966</v>
          </cell>
          <cell r="M617">
            <v>0.9768950938944058</v>
          </cell>
          <cell r="N617">
            <v>0</v>
          </cell>
        </row>
        <row r="618">
          <cell r="A618">
            <v>2003</v>
          </cell>
          <cell r="B618">
            <v>4</v>
          </cell>
          <cell r="C618">
            <v>1</v>
          </cell>
          <cell r="D618">
            <v>0</v>
          </cell>
          <cell r="E618">
            <v>2</v>
          </cell>
          <cell r="F618" t="str">
            <v>RUR</v>
          </cell>
          <cell r="G618">
            <v>0</v>
          </cell>
          <cell r="H618">
            <v>400</v>
          </cell>
          <cell r="I618">
            <v>1</v>
          </cell>
          <cell r="J618" t="str">
            <v>ГАКБ "Точиксодиротбонк"</v>
          </cell>
          <cell r="K618">
            <v>0</v>
          </cell>
          <cell r="L618">
            <v>390.7580375577623</v>
          </cell>
          <cell r="M618">
            <v>0.9768950938944058</v>
          </cell>
          <cell r="N618">
            <v>0</v>
          </cell>
        </row>
        <row r="619">
          <cell r="A619">
            <v>2003</v>
          </cell>
          <cell r="B619">
            <v>4</v>
          </cell>
          <cell r="C619">
            <v>1</v>
          </cell>
          <cell r="D619">
            <v>0</v>
          </cell>
          <cell r="E619">
            <v>1</v>
          </cell>
          <cell r="F619" t="str">
            <v>EURO</v>
          </cell>
          <cell r="G619">
            <v>0</v>
          </cell>
          <cell r="H619">
            <v>198448</v>
          </cell>
          <cell r="I619">
            <v>4</v>
          </cell>
          <cell r="J619" t="str">
            <v>ГАКБ "Точиксодиротбонк"</v>
          </cell>
          <cell r="K619">
            <v>0</v>
          </cell>
          <cell r="L619">
            <v>187827.10364768683</v>
          </cell>
          <cell r="M619">
            <v>0.9464802046263345</v>
          </cell>
          <cell r="N619">
            <v>0</v>
          </cell>
        </row>
        <row r="620">
          <cell r="A620">
            <v>2003</v>
          </cell>
          <cell r="B620">
            <v>4</v>
          </cell>
          <cell r="C620">
            <v>1</v>
          </cell>
          <cell r="D620">
            <v>0</v>
          </cell>
          <cell r="E620">
            <v>2</v>
          </cell>
          <cell r="F620" t="str">
            <v>EURO</v>
          </cell>
          <cell r="G620">
            <v>0</v>
          </cell>
          <cell r="H620">
            <v>4750</v>
          </cell>
          <cell r="I620">
            <v>1</v>
          </cell>
          <cell r="J620" t="str">
            <v>ГАКБ "Точиксодиротбонк"</v>
          </cell>
          <cell r="K620">
            <v>0</v>
          </cell>
          <cell r="L620">
            <v>4495.780971975089</v>
          </cell>
          <cell r="M620">
            <v>0.9464802046263345</v>
          </cell>
          <cell r="N620">
            <v>0</v>
          </cell>
        </row>
        <row r="621">
          <cell r="A621">
            <v>2003</v>
          </cell>
          <cell r="B621">
            <v>4</v>
          </cell>
          <cell r="C621">
            <v>1</v>
          </cell>
          <cell r="D621">
            <v>0</v>
          </cell>
          <cell r="E621">
            <v>1</v>
          </cell>
          <cell r="F621" t="str">
            <v>TJS</v>
          </cell>
          <cell r="G621">
            <v>0</v>
          </cell>
          <cell r="H621">
            <v>21423514</v>
          </cell>
          <cell r="I621">
            <v>3653</v>
          </cell>
          <cell r="J621" t="str">
            <v>ГСБ "Амонатбанк"</v>
          </cell>
          <cell r="K621">
            <v>0</v>
          </cell>
          <cell r="L621">
            <v>21423514</v>
          </cell>
          <cell r="M621">
            <v>1</v>
          </cell>
          <cell r="N621">
            <v>0</v>
          </cell>
        </row>
        <row r="622">
          <cell r="A622">
            <v>2003</v>
          </cell>
          <cell r="B622">
            <v>4</v>
          </cell>
          <cell r="C622">
            <v>1</v>
          </cell>
          <cell r="D622">
            <v>0</v>
          </cell>
          <cell r="E622">
            <v>1</v>
          </cell>
          <cell r="F622" t="str">
            <v>TJS</v>
          </cell>
          <cell r="G622">
            <v>2.4</v>
          </cell>
          <cell r="H622">
            <v>74028053</v>
          </cell>
          <cell r="I622">
            <v>1716</v>
          </cell>
          <cell r="J622" t="str">
            <v>ГСБ "Амонатбанк"</v>
          </cell>
          <cell r="K622">
            <v>177667327.2</v>
          </cell>
          <cell r="L622">
            <v>74028053</v>
          </cell>
          <cell r="M622">
            <v>1</v>
          </cell>
          <cell r="N622">
            <v>177667327.2</v>
          </cell>
        </row>
        <row r="623">
          <cell r="A623">
            <v>2003</v>
          </cell>
          <cell r="B623">
            <v>4</v>
          </cell>
          <cell r="C623">
            <v>2</v>
          </cell>
          <cell r="D623">
            <v>90</v>
          </cell>
          <cell r="E623">
            <v>2</v>
          </cell>
          <cell r="F623" t="str">
            <v>TJS</v>
          </cell>
          <cell r="G623">
            <v>15</v>
          </cell>
          <cell r="H623">
            <v>148927</v>
          </cell>
          <cell r="I623">
            <v>28</v>
          </cell>
          <cell r="J623" t="str">
            <v>ГСБ "Амонатбанк"</v>
          </cell>
          <cell r="K623">
            <v>2233905</v>
          </cell>
          <cell r="L623">
            <v>148927</v>
          </cell>
          <cell r="M623">
            <v>1</v>
          </cell>
          <cell r="N623">
            <v>2233905</v>
          </cell>
        </row>
        <row r="624">
          <cell r="A624">
            <v>2003</v>
          </cell>
          <cell r="B624">
            <v>4</v>
          </cell>
          <cell r="C624">
            <v>2</v>
          </cell>
          <cell r="D624">
            <v>180</v>
          </cell>
          <cell r="E624">
            <v>2</v>
          </cell>
          <cell r="F624" t="str">
            <v>TJS</v>
          </cell>
          <cell r="G624">
            <v>18</v>
          </cell>
          <cell r="H624">
            <v>27129</v>
          </cell>
          <cell r="I624">
            <v>14</v>
          </cell>
          <cell r="J624" t="str">
            <v>ГСБ "Амонатбанк"</v>
          </cell>
          <cell r="K624">
            <v>488322</v>
          </cell>
          <cell r="L624">
            <v>27129</v>
          </cell>
          <cell r="M624">
            <v>1</v>
          </cell>
          <cell r="N624">
            <v>488322</v>
          </cell>
        </row>
        <row r="625">
          <cell r="A625">
            <v>2003</v>
          </cell>
          <cell r="B625">
            <v>4</v>
          </cell>
          <cell r="C625">
            <v>2</v>
          </cell>
          <cell r="D625">
            <v>360</v>
          </cell>
          <cell r="E625">
            <v>2</v>
          </cell>
          <cell r="F625" t="str">
            <v>TJS</v>
          </cell>
          <cell r="G625">
            <v>24</v>
          </cell>
          <cell r="H625">
            <v>79884</v>
          </cell>
          <cell r="I625">
            <v>27</v>
          </cell>
          <cell r="J625" t="str">
            <v>ГСБ "Амонатбанк"</v>
          </cell>
          <cell r="K625">
            <v>1917216</v>
          </cell>
          <cell r="L625">
            <v>79884</v>
          </cell>
          <cell r="M625">
            <v>1</v>
          </cell>
          <cell r="N625">
            <v>1917216</v>
          </cell>
        </row>
        <row r="626">
          <cell r="A626">
            <v>2003</v>
          </cell>
          <cell r="B626">
            <v>4</v>
          </cell>
          <cell r="C626">
            <v>2</v>
          </cell>
          <cell r="D626">
            <v>1080</v>
          </cell>
          <cell r="E626">
            <v>2</v>
          </cell>
          <cell r="F626" t="str">
            <v>TJS</v>
          </cell>
          <cell r="G626">
            <v>30</v>
          </cell>
          <cell r="H626">
            <v>51484</v>
          </cell>
          <cell r="I626">
            <v>16</v>
          </cell>
          <cell r="J626" t="str">
            <v>ГСБ "Амонатбанк"</v>
          </cell>
          <cell r="K626">
            <v>1544520</v>
          </cell>
          <cell r="L626">
            <v>51484</v>
          </cell>
          <cell r="M626">
            <v>1</v>
          </cell>
          <cell r="N626">
            <v>1544520</v>
          </cell>
        </row>
        <row r="627">
          <cell r="A627">
            <v>2003</v>
          </cell>
          <cell r="B627">
            <v>4</v>
          </cell>
          <cell r="C627">
            <v>2</v>
          </cell>
          <cell r="D627">
            <v>360</v>
          </cell>
          <cell r="E627">
            <v>2</v>
          </cell>
          <cell r="F627" t="str">
            <v>TJS</v>
          </cell>
          <cell r="G627">
            <v>2</v>
          </cell>
          <cell r="H627">
            <v>60</v>
          </cell>
          <cell r="I627">
            <v>2</v>
          </cell>
          <cell r="J627" t="str">
            <v>ГСБ "Амонатбанк"</v>
          </cell>
          <cell r="K627">
            <v>120</v>
          </cell>
          <cell r="L627">
            <v>60</v>
          </cell>
          <cell r="M627">
            <v>1</v>
          </cell>
          <cell r="N627">
            <v>120</v>
          </cell>
        </row>
        <row r="628">
          <cell r="A628">
            <v>2003</v>
          </cell>
          <cell r="B628">
            <v>4</v>
          </cell>
          <cell r="C628">
            <v>3</v>
          </cell>
          <cell r="D628">
            <v>360</v>
          </cell>
          <cell r="E628">
            <v>2</v>
          </cell>
          <cell r="F628" t="str">
            <v>TJS</v>
          </cell>
          <cell r="G628">
            <v>2</v>
          </cell>
          <cell r="H628">
            <v>2012847</v>
          </cell>
          <cell r="I628">
            <v>24563</v>
          </cell>
          <cell r="J628" t="str">
            <v>ГСБ "Амонатбанк"</v>
          </cell>
          <cell r="K628">
            <v>4025694</v>
          </cell>
          <cell r="L628">
            <v>2012847</v>
          </cell>
          <cell r="M628">
            <v>1</v>
          </cell>
          <cell r="N628">
            <v>4025694</v>
          </cell>
        </row>
        <row r="629">
          <cell r="A629">
            <v>2003</v>
          </cell>
          <cell r="B629">
            <v>4</v>
          </cell>
          <cell r="C629">
            <v>1</v>
          </cell>
          <cell r="D629">
            <v>0</v>
          </cell>
          <cell r="E629">
            <v>1</v>
          </cell>
          <cell r="F629" t="str">
            <v>RUR</v>
          </cell>
          <cell r="G629">
            <v>0</v>
          </cell>
          <cell r="H629">
            <v>730774</v>
          </cell>
          <cell r="I629">
            <v>23</v>
          </cell>
          <cell r="J629" t="str">
            <v>ГСБ "Амонатбанк"</v>
          </cell>
          <cell r="K629">
            <v>0</v>
          </cell>
          <cell r="L629">
            <v>713889.5353455904</v>
          </cell>
          <cell r="M629">
            <v>0.9768950938944058</v>
          </cell>
          <cell r="N629">
            <v>0</v>
          </cell>
        </row>
        <row r="630">
          <cell r="A630">
            <v>2003</v>
          </cell>
          <cell r="B630">
            <v>4</v>
          </cell>
          <cell r="C630">
            <v>1</v>
          </cell>
          <cell r="D630">
            <v>0</v>
          </cell>
          <cell r="E630">
            <v>1</v>
          </cell>
          <cell r="F630" t="str">
            <v>RUR</v>
          </cell>
          <cell r="G630">
            <v>0</v>
          </cell>
          <cell r="H630">
            <v>1889</v>
          </cell>
          <cell r="I630">
            <v>12</v>
          </cell>
          <cell r="J630" t="str">
            <v>ГСБ "Амонатбанк"</v>
          </cell>
          <cell r="K630">
            <v>0</v>
          </cell>
          <cell r="L630">
            <v>1845.3548323665325</v>
          </cell>
          <cell r="M630">
            <v>0.9768950938944058</v>
          </cell>
          <cell r="N630">
            <v>0</v>
          </cell>
        </row>
        <row r="631">
          <cell r="A631">
            <v>2003</v>
          </cell>
          <cell r="B631">
            <v>4</v>
          </cell>
          <cell r="C631">
            <v>1</v>
          </cell>
          <cell r="D631">
            <v>0</v>
          </cell>
          <cell r="E631">
            <v>2</v>
          </cell>
          <cell r="F631" t="str">
            <v>USD</v>
          </cell>
          <cell r="G631">
            <v>0</v>
          </cell>
          <cell r="H631">
            <v>5291203</v>
          </cell>
          <cell r="I631">
            <v>105</v>
          </cell>
          <cell r="J631" t="str">
            <v>ГСБ "Амонатбанк"</v>
          </cell>
          <cell r="K631">
            <v>0</v>
          </cell>
          <cell r="L631">
            <v>5291203</v>
          </cell>
          <cell r="M631">
            <v>1</v>
          </cell>
          <cell r="N631">
            <v>0</v>
          </cell>
        </row>
        <row r="632">
          <cell r="A632">
            <v>2003</v>
          </cell>
          <cell r="B632">
            <v>4</v>
          </cell>
          <cell r="C632">
            <v>1</v>
          </cell>
          <cell r="D632">
            <v>0</v>
          </cell>
          <cell r="E632">
            <v>2</v>
          </cell>
          <cell r="F632" t="str">
            <v>USD</v>
          </cell>
          <cell r="G632">
            <v>0</v>
          </cell>
          <cell r="H632">
            <v>11442</v>
          </cell>
          <cell r="I632">
            <v>37</v>
          </cell>
          <cell r="J632" t="str">
            <v>ГСБ "Амонатбанк"</v>
          </cell>
          <cell r="K632">
            <v>0</v>
          </cell>
          <cell r="L632">
            <v>11442</v>
          </cell>
          <cell r="M632">
            <v>1</v>
          </cell>
          <cell r="N632">
            <v>0</v>
          </cell>
        </row>
        <row r="633">
          <cell r="A633">
            <v>2003</v>
          </cell>
          <cell r="B633">
            <v>4</v>
          </cell>
          <cell r="C633">
            <v>2</v>
          </cell>
          <cell r="D633">
            <v>90</v>
          </cell>
          <cell r="E633">
            <v>2</v>
          </cell>
          <cell r="F633" t="str">
            <v>USD</v>
          </cell>
          <cell r="G633">
            <v>6</v>
          </cell>
          <cell r="H633">
            <v>100930</v>
          </cell>
          <cell r="I633">
            <v>5</v>
          </cell>
          <cell r="J633" t="str">
            <v>ГСБ "Амонатбанк"</v>
          </cell>
          <cell r="K633">
            <v>605580</v>
          </cell>
          <cell r="L633">
            <v>100930</v>
          </cell>
          <cell r="M633">
            <v>1</v>
          </cell>
          <cell r="N633">
            <v>605580</v>
          </cell>
        </row>
        <row r="634">
          <cell r="A634">
            <v>2003</v>
          </cell>
          <cell r="B634">
            <v>4</v>
          </cell>
          <cell r="C634">
            <v>2</v>
          </cell>
          <cell r="D634">
            <v>180</v>
          </cell>
          <cell r="E634">
            <v>2</v>
          </cell>
          <cell r="F634" t="str">
            <v>USD</v>
          </cell>
          <cell r="G634">
            <v>7</v>
          </cell>
          <cell r="H634">
            <v>175</v>
          </cell>
          <cell r="I634">
            <v>2</v>
          </cell>
          <cell r="J634" t="str">
            <v>ГСБ "Амонатбанк"</v>
          </cell>
          <cell r="K634">
            <v>1225</v>
          </cell>
          <cell r="L634">
            <v>175</v>
          </cell>
          <cell r="M634">
            <v>1</v>
          </cell>
          <cell r="N634">
            <v>1225</v>
          </cell>
        </row>
        <row r="635">
          <cell r="A635">
            <v>2003</v>
          </cell>
          <cell r="B635">
            <v>4</v>
          </cell>
          <cell r="C635">
            <v>2</v>
          </cell>
          <cell r="D635">
            <v>360</v>
          </cell>
          <cell r="E635">
            <v>2</v>
          </cell>
          <cell r="F635" t="str">
            <v>USD</v>
          </cell>
          <cell r="G635">
            <v>12</v>
          </cell>
          <cell r="H635">
            <v>760409</v>
          </cell>
          <cell r="I635">
            <v>28</v>
          </cell>
          <cell r="J635" t="str">
            <v>ГСБ "Амонатбанк"</v>
          </cell>
          <cell r="K635">
            <v>9124908</v>
          </cell>
          <cell r="L635">
            <v>760409</v>
          </cell>
          <cell r="M635">
            <v>1</v>
          </cell>
          <cell r="N635">
            <v>9124908</v>
          </cell>
        </row>
        <row r="636">
          <cell r="A636">
            <v>2003</v>
          </cell>
          <cell r="B636">
            <v>4</v>
          </cell>
          <cell r="C636">
            <v>2</v>
          </cell>
          <cell r="D636">
            <v>1080</v>
          </cell>
          <cell r="E636">
            <v>2</v>
          </cell>
          <cell r="F636" t="str">
            <v>USD</v>
          </cell>
          <cell r="G636">
            <v>15</v>
          </cell>
          <cell r="H636">
            <v>8180</v>
          </cell>
          <cell r="I636">
            <v>24</v>
          </cell>
          <cell r="J636" t="str">
            <v>ГСБ "Амонатбанк"</v>
          </cell>
          <cell r="K636">
            <v>122700</v>
          </cell>
          <cell r="L636">
            <v>8180</v>
          </cell>
          <cell r="M636">
            <v>1</v>
          </cell>
          <cell r="N636">
            <v>122700</v>
          </cell>
        </row>
        <row r="637">
          <cell r="A637">
            <v>2003</v>
          </cell>
          <cell r="B637">
            <v>4</v>
          </cell>
          <cell r="C637">
            <v>3</v>
          </cell>
          <cell r="D637">
            <v>360</v>
          </cell>
          <cell r="E637">
            <v>2</v>
          </cell>
          <cell r="F637" t="str">
            <v>USD</v>
          </cell>
          <cell r="G637">
            <v>2</v>
          </cell>
          <cell r="H637">
            <v>1545</v>
          </cell>
          <cell r="I637">
            <v>2</v>
          </cell>
          <cell r="J637" t="str">
            <v>ГСБ "Амонатбанк"</v>
          </cell>
          <cell r="K637">
            <v>3090</v>
          </cell>
          <cell r="L637">
            <v>1545</v>
          </cell>
          <cell r="M637">
            <v>1</v>
          </cell>
          <cell r="N637">
            <v>3090</v>
          </cell>
        </row>
        <row r="638">
          <cell r="A638">
            <v>2003</v>
          </cell>
          <cell r="B638">
            <v>4</v>
          </cell>
          <cell r="C638">
            <v>1</v>
          </cell>
          <cell r="D638">
            <v>0</v>
          </cell>
          <cell r="E638">
            <v>1</v>
          </cell>
          <cell r="F638" t="str">
            <v>EURO</v>
          </cell>
          <cell r="G638">
            <v>0</v>
          </cell>
          <cell r="H638">
            <v>315</v>
          </cell>
          <cell r="I638">
            <v>3</v>
          </cell>
          <cell r="J638" t="str">
            <v>ГСБ "Амонатбанк"</v>
          </cell>
          <cell r="K638">
            <v>0</v>
          </cell>
          <cell r="L638">
            <v>298.1412644572954</v>
          </cell>
          <cell r="M638">
            <v>0.9464802046263345</v>
          </cell>
          <cell r="N638">
            <v>0</v>
          </cell>
        </row>
        <row r="639">
          <cell r="A639">
            <v>2003</v>
          </cell>
          <cell r="B639">
            <v>4</v>
          </cell>
          <cell r="C639">
            <v>1</v>
          </cell>
          <cell r="D639">
            <v>0</v>
          </cell>
          <cell r="E639">
            <v>1</v>
          </cell>
          <cell r="F639" t="str">
            <v>TJS</v>
          </cell>
          <cell r="G639">
            <v>0</v>
          </cell>
          <cell r="H639">
            <v>98559</v>
          </cell>
          <cell r="I639">
            <v>11</v>
          </cell>
          <cell r="J639" t="str">
            <v>КТОО "Фонон"</v>
          </cell>
          <cell r="K639">
            <v>0</v>
          </cell>
          <cell r="L639">
            <v>98559</v>
          </cell>
          <cell r="M639">
            <v>1</v>
          </cell>
          <cell r="N639">
            <v>0</v>
          </cell>
        </row>
        <row r="640">
          <cell r="A640">
            <v>2003</v>
          </cell>
          <cell r="B640">
            <v>4</v>
          </cell>
          <cell r="C640">
            <v>1</v>
          </cell>
          <cell r="D640">
            <v>0</v>
          </cell>
          <cell r="E640">
            <v>2</v>
          </cell>
          <cell r="F640" t="str">
            <v>TJS</v>
          </cell>
          <cell r="G640">
            <v>0</v>
          </cell>
          <cell r="H640">
            <v>4894</v>
          </cell>
          <cell r="I640">
            <v>2</v>
          </cell>
          <cell r="J640" t="str">
            <v>КТОО "Фонон"</v>
          </cell>
          <cell r="K640">
            <v>0</v>
          </cell>
          <cell r="L640">
            <v>4894</v>
          </cell>
          <cell r="M640">
            <v>1</v>
          </cell>
          <cell r="N640">
            <v>0</v>
          </cell>
        </row>
        <row r="641">
          <cell r="A641">
            <v>2003</v>
          </cell>
          <cell r="B641">
            <v>4</v>
          </cell>
          <cell r="C641">
            <v>1</v>
          </cell>
          <cell r="D641">
            <v>0</v>
          </cell>
          <cell r="E641">
            <v>1</v>
          </cell>
          <cell r="F641" t="str">
            <v>TJS</v>
          </cell>
          <cell r="G641">
            <v>0</v>
          </cell>
          <cell r="H641">
            <v>251981</v>
          </cell>
          <cell r="I641">
            <v>14</v>
          </cell>
          <cell r="J641" t="str">
            <v>СТК "Центрально-Азиатский банк"</v>
          </cell>
          <cell r="K641">
            <v>0</v>
          </cell>
          <cell r="L641">
            <v>251981</v>
          </cell>
          <cell r="M641">
            <v>1</v>
          </cell>
          <cell r="N641">
            <v>0</v>
          </cell>
        </row>
        <row r="642">
          <cell r="A642">
            <v>2003</v>
          </cell>
          <cell r="B642">
            <v>4</v>
          </cell>
          <cell r="C642">
            <v>1</v>
          </cell>
          <cell r="D642">
            <v>0</v>
          </cell>
          <cell r="E642">
            <v>1</v>
          </cell>
          <cell r="F642" t="str">
            <v>USD</v>
          </cell>
          <cell r="G642">
            <v>0</v>
          </cell>
          <cell r="H642">
            <v>120680</v>
          </cell>
          <cell r="I642">
            <v>2</v>
          </cell>
          <cell r="J642" t="str">
            <v>СТК "Центрально-Азиатский банк"</v>
          </cell>
          <cell r="K642">
            <v>0</v>
          </cell>
          <cell r="L642">
            <v>120680</v>
          </cell>
          <cell r="M642">
            <v>1</v>
          </cell>
          <cell r="N642">
            <v>0</v>
          </cell>
        </row>
        <row r="643">
          <cell r="A643">
            <v>2003</v>
          </cell>
          <cell r="B643">
            <v>4</v>
          </cell>
          <cell r="C643">
            <v>2</v>
          </cell>
          <cell r="D643">
            <v>360</v>
          </cell>
          <cell r="E643">
            <v>2</v>
          </cell>
          <cell r="F643" t="str">
            <v>USD</v>
          </cell>
          <cell r="G643">
            <v>20</v>
          </cell>
          <cell r="H643">
            <v>715</v>
          </cell>
          <cell r="I643">
            <v>2</v>
          </cell>
          <cell r="J643" t="str">
            <v>СТК "Центрально-Азиатский банк"</v>
          </cell>
          <cell r="K643">
            <v>14300</v>
          </cell>
          <cell r="L643">
            <v>715</v>
          </cell>
          <cell r="M643">
            <v>1</v>
          </cell>
          <cell r="N643">
            <v>14300</v>
          </cell>
        </row>
        <row r="644">
          <cell r="A644">
            <v>2003</v>
          </cell>
          <cell r="B644">
            <v>4</v>
          </cell>
          <cell r="C644">
            <v>1</v>
          </cell>
          <cell r="D644">
            <v>0</v>
          </cell>
          <cell r="E644">
            <v>1</v>
          </cell>
          <cell r="F644" t="str">
            <v>TJS</v>
          </cell>
          <cell r="G644">
            <v>0</v>
          </cell>
          <cell r="H644">
            <v>14729371</v>
          </cell>
          <cell r="I644">
            <v>56</v>
          </cell>
          <cell r="J644" t="str">
            <v>ТАК ПБРР "Таджпромбанк"</v>
          </cell>
          <cell r="K644">
            <v>0</v>
          </cell>
          <cell r="L644">
            <v>14729371</v>
          </cell>
          <cell r="M644">
            <v>1</v>
          </cell>
          <cell r="N644">
            <v>0</v>
          </cell>
        </row>
        <row r="645">
          <cell r="A645">
            <v>2003</v>
          </cell>
          <cell r="B645">
            <v>4</v>
          </cell>
          <cell r="C645">
            <v>1</v>
          </cell>
          <cell r="D645">
            <v>0</v>
          </cell>
          <cell r="E645">
            <v>2</v>
          </cell>
          <cell r="F645" t="str">
            <v>TJS</v>
          </cell>
          <cell r="G645">
            <v>0</v>
          </cell>
          <cell r="H645">
            <v>298819</v>
          </cell>
          <cell r="I645">
            <v>6</v>
          </cell>
          <cell r="J645" t="str">
            <v>ТАК ПБРР "Таджпромбанк"</v>
          </cell>
          <cell r="K645">
            <v>0</v>
          </cell>
          <cell r="L645">
            <v>298819</v>
          </cell>
          <cell r="M645">
            <v>1</v>
          </cell>
          <cell r="N645">
            <v>0</v>
          </cell>
        </row>
        <row r="646">
          <cell r="A646">
            <v>2003</v>
          </cell>
          <cell r="B646">
            <v>4</v>
          </cell>
          <cell r="C646">
            <v>3</v>
          </cell>
          <cell r="D646">
            <v>720</v>
          </cell>
          <cell r="E646">
            <v>2</v>
          </cell>
          <cell r="F646" t="str">
            <v>TJS</v>
          </cell>
          <cell r="G646">
            <v>20</v>
          </cell>
          <cell r="H646">
            <v>94</v>
          </cell>
          <cell r="I646">
            <v>1</v>
          </cell>
          <cell r="J646" t="str">
            <v>ТАК ПБРР "Таджпромбанк"</v>
          </cell>
          <cell r="K646">
            <v>1880</v>
          </cell>
          <cell r="L646">
            <v>94</v>
          </cell>
          <cell r="M646">
            <v>1</v>
          </cell>
          <cell r="N646">
            <v>1880</v>
          </cell>
        </row>
        <row r="647">
          <cell r="A647">
            <v>2003</v>
          </cell>
          <cell r="B647">
            <v>4</v>
          </cell>
          <cell r="C647">
            <v>3</v>
          </cell>
          <cell r="D647">
            <v>30</v>
          </cell>
          <cell r="E647">
            <v>2</v>
          </cell>
          <cell r="F647" t="str">
            <v>TJS</v>
          </cell>
          <cell r="G647">
            <v>0</v>
          </cell>
          <cell r="H647">
            <v>1176</v>
          </cell>
          <cell r="I647">
            <v>1</v>
          </cell>
          <cell r="J647" t="str">
            <v>ТАК ПБРР "Таджпромбанк"</v>
          </cell>
          <cell r="K647">
            <v>0</v>
          </cell>
          <cell r="L647">
            <v>1176</v>
          </cell>
          <cell r="M647">
            <v>1</v>
          </cell>
          <cell r="N647">
            <v>0</v>
          </cell>
        </row>
        <row r="648">
          <cell r="A648">
            <v>2003</v>
          </cell>
          <cell r="B648">
            <v>4</v>
          </cell>
          <cell r="C648">
            <v>1</v>
          </cell>
          <cell r="D648">
            <v>0</v>
          </cell>
          <cell r="E648">
            <v>1</v>
          </cell>
          <cell r="F648" t="str">
            <v>USD</v>
          </cell>
          <cell r="G648">
            <v>0</v>
          </cell>
          <cell r="H648">
            <v>23112105</v>
          </cell>
          <cell r="I648">
            <v>11</v>
          </cell>
          <cell r="J648" t="str">
            <v>ТАК ПБРР "Таджпромбанк"</v>
          </cell>
          <cell r="K648">
            <v>0</v>
          </cell>
          <cell r="L648">
            <v>23112105</v>
          </cell>
          <cell r="M648">
            <v>1</v>
          </cell>
          <cell r="N648">
            <v>0</v>
          </cell>
        </row>
        <row r="649">
          <cell r="A649">
            <v>2003</v>
          </cell>
          <cell r="B649">
            <v>4</v>
          </cell>
          <cell r="C649">
            <v>1</v>
          </cell>
          <cell r="D649">
            <v>0</v>
          </cell>
          <cell r="E649">
            <v>2</v>
          </cell>
          <cell r="F649" t="str">
            <v>USD</v>
          </cell>
          <cell r="G649">
            <v>18</v>
          </cell>
          <cell r="H649">
            <v>38021</v>
          </cell>
          <cell r="I649">
            <v>2</v>
          </cell>
          <cell r="J649" t="str">
            <v>ТАК ПБРР "Таджпромбанк"</v>
          </cell>
          <cell r="K649">
            <v>684378</v>
          </cell>
          <cell r="L649">
            <v>38021</v>
          </cell>
          <cell r="M649">
            <v>1</v>
          </cell>
          <cell r="N649">
            <v>684378</v>
          </cell>
        </row>
        <row r="650">
          <cell r="A650">
            <v>2003</v>
          </cell>
          <cell r="B650">
            <v>4</v>
          </cell>
          <cell r="C650">
            <v>1</v>
          </cell>
          <cell r="D650">
            <v>0</v>
          </cell>
          <cell r="E650">
            <v>2</v>
          </cell>
          <cell r="F650" t="str">
            <v>USD</v>
          </cell>
          <cell r="G650">
            <v>16</v>
          </cell>
          <cell r="H650">
            <v>190211</v>
          </cell>
          <cell r="I650">
            <v>1</v>
          </cell>
          <cell r="J650" t="str">
            <v>ТАК ПБРР "Таджпромбанк"</v>
          </cell>
          <cell r="K650">
            <v>3043376</v>
          </cell>
          <cell r="L650">
            <v>190211</v>
          </cell>
          <cell r="M650">
            <v>1</v>
          </cell>
          <cell r="N650">
            <v>3043376</v>
          </cell>
        </row>
        <row r="651">
          <cell r="A651">
            <v>2003</v>
          </cell>
          <cell r="B651">
            <v>4</v>
          </cell>
          <cell r="C651">
            <v>1</v>
          </cell>
          <cell r="D651">
            <v>0</v>
          </cell>
          <cell r="E651">
            <v>2</v>
          </cell>
          <cell r="F651" t="str">
            <v>USD</v>
          </cell>
          <cell r="G651">
            <v>0</v>
          </cell>
          <cell r="H651">
            <v>224924</v>
          </cell>
          <cell r="I651">
            <v>8</v>
          </cell>
          <cell r="J651" t="str">
            <v>ТАК ПБРР "Таджпромбанк"</v>
          </cell>
          <cell r="K651">
            <v>0</v>
          </cell>
          <cell r="L651">
            <v>224924</v>
          </cell>
          <cell r="M651">
            <v>1</v>
          </cell>
          <cell r="N651">
            <v>0</v>
          </cell>
        </row>
        <row r="652">
          <cell r="A652">
            <v>2003</v>
          </cell>
          <cell r="B652">
            <v>4</v>
          </cell>
          <cell r="C652">
            <v>2</v>
          </cell>
          <cell r="D652">
            <v>360</v>
          </cell>
          <cell r="E652">
            <v>2</v>
          </cell>
          <cell r="F652" t="str">
            <v>USD</v>
          </cell>
          <cell r="G652">
            <v>10</v>
          </cell>
          <cell r="H652">
            <v>3090</v>
          </cell>
          <cell r="I652">
            <v>1</v>
          </cell>
          <cell r="J652" t="str">
            <v>ТАК ПБРР "Таджпромбанк"</v>
          </cell>
          <cell r="K652">
            <v>30900</v>
          </cell>
          <cell r="L652">
            <v>3090</v>
          </cell>
          <cell r="M652">
            <v>1</v>
          </cell>
          <cell r="N652">
            <v>30900</v>
          </cell>
        </row>
        <row r="653">
          <cell r="A653">
            <v>2003</v>
          </cell>
          <cell r="B653">
            <v>4</v>
          </cell>
          <cell r="C653">
            <v>2</v>
          </cell>
          <cell r="D653">
            <v>360</v>
          </cell>
          <cell r="E653">
            <v>2</v>
          </cell>
          <cell r="F653" t="str">
            <v>USD</v>
          </cell>
          <cell r="G653">
            <v>16</v>
          </cell>
          <cell r="H653">
            <v>612</v>
          </cell>
          <cell r="I653">
            <v>1</v>
          </cell>
          <cell r="J653" t="str">
            <v>ТАК ПБРР "Таджпромбанк"</v>
          </cell>
          <cell r="K653">
            <v>9792</v>
          </cell>
          <cell r="L653">
            <v>612</v>
          </cell>
          <cell r="M653">
            <v>1</v>
          </cell>
          <cell r="N653">
            <v>9792</v>
          </cell>
        </row>
        <row r="654">
          <cell r="A654">
            <v>2003</v>
          </cell>
          <cell r="B654">
            <v>4</v>
          </cell>
          <cell r="C654">
            <v>2</v>
          </cell>
          <cell r="D654">
            <v>720</v>
          </cell>
          <cell r="E654">
            <v>2</v>
          </cell>
          <cell r="F654" t="str">
            <v>USD</v>
          </cell>
          <cell r="G654">
            <v>18</v>
          </cell>
          <cell r="H654">
            <v>6718</v>
          </cell>
          <cell r="I654">
            <v>2</v>
          </cell>
          <cell r="J654" t="str">
            <v>ТАК ПБРР "Таджпромбанк"</v>
          </cell>
          <cell r="K654">
            <v>120924</v>
          </cell>
          <cell r="L654">
            <v>6718</v>
          </cell>
          <cell r="M654">
            <v>1</v>
          </cell>
          <cell r="N654">
            <v>120924</v>
          </cell>
        </row>
        <row r="655">
          <cell r="A655">
            <v>2003</v>
          </cell>
          <cell r="B655">
            <v>4</v>
          </cell>
          <cell r="C655">
            <v>1</v>
          </cell>
          <cell r="D655">
            <v>0</v>
          </cell>
          <cell r="E655">
            <v>1</v>
          </cell>
          <cell r="F655" t="str">
            <v>TJS</v>
          </cell>
          <cell r="G655">
            <v>0</v>
          </cell>
          <cell r="H655">
            <v>53573433</v>
          </cell>
          <cell r="I655">
            <v>6190</v>
          </cell>
          <cell r="J655" t="str">
            <v>ТАК ПСБ "Ориёнбанк"</v>
          </cell>
          <cell r="K655">
            <v>0</v>
          </cell>
          <cell r="L655">
            <v>53573433</v>
          </cell>
          <cell r="M655">
            <v>1</v>
          </cell>
          <cell r="N655">
            <v>0</v>
          </cell>
        </row>
        <row r="656">
          <cell r="A656">
            <v>2003</v>
          </cell>
          <cell r="B656">
            <v>4</v>
          </cell>
          <cell r="C656">
            <v>1</v>
          </cell>
          <cell r="D656">
            <v>0</v>
          </cell>
          <cell r="E656">
            <v>1</v>
          </cell>
          <cell r="F656" t="str">
            <v>TJS</v>
          </cell>
          <cell r="G656">
            <v>0.5</v>
          </cell>
          <cell r="H656">
            <v>40856537</v>
          </cell>
          <cell r="I656">
            <v>1731</v>
          </cell>
          <cell r="J656" t="str">
            <v>ТАК ПСБ "Ориёнбанк"</v>
          </cell>
          <cell r="K656">
            <v>20428268.5</v>
          </cell>
          <cell r="L656">
            <v>40856537</v>
          </cell>
          <cell r="M656">
            <v>1</v>
          </cell>
          <cell r="N656">
            <v>20428268.5</v>
          </cell>
        </row>
        <row r="657">
          <cell r="A657">
            <v>2003</v>
          </cell>
          <cell r="B657">
            <v>4</v>
          </cell>
          <cell r="C657">
            <v>2</v>
          </cell>
          <cell r="D657">
            <v>30</v>
          </cell>
          <cell r="E657">
            <v>1</v>
          </cell>
          <cell r="F657" t="str">
            <v>TJS</v>
          </cell>
          <cell r="G657">
            <v>5</v>
          </cell>
          <cell r="H657">
            <v>85000</v>
          </cell>
          <cell r="I657">
            <v>3</v>
          </cell>
          <cell r="J657" t="str">
            <v>ТАК ПСБ "Ориёнбанк"</v>
          </cell>
          <cell r="K657">
            <v>425000</v>
          </cell>
          <cell r="L657">
            <v>85000</v>
          </cell>
          <cell r="M657">
            <v>1</v>
          </cell>
          <cell r="N657">
            <v>425000</v>
          </cell>
        </row>
        <row r="658">
          <cell r="A658">
            <v>2003</v>
          </cell>
          <cell r="B658">
            <v>4</v>
          </cell>
          <cell r="C658">
            <v>2</v>
          </cell>
          <cell r="D658">
            <v>90</v>
          </cell>
          <cell r="E658">
            <v>2</v>
          </cell>
          <cell r="F658" t="str">
            <v>TJS</v>
          </cell>
          <cell r="G658">
            <v>12</v>
          </cell>
          <cell r="H658">
            <v>800</v>
          </cell>
          <cell r="I658">
            <v>1</v>
          </cell>
          <cell r="J658" t="str">
            <v>ТАК ПСБ "Ориёнбанк"</v>
          </cell>
          <cell r="K658">
            <v>9600</v>
          </cell>
          <cell r="L658">
            <v>800</v>
          </cell>
          <cell r="M658">
            <v>1</v>
          </cell>
          <cell r="N658">
            <v>9600</v>
          </cell>
        </row>
        <row r="659">
          <cell r="A659">
            <v>2003</v>
          </cell>
          <cell r="B659">
            <v>4</v>
          </cell>
          <cell r="C659">
            <v>2</v>
          </cell>
          <cell r="D659">
            <v>180</v>
          </cell>
          <cell r="E659">
            <v>1</v>
          </cell>
          <cell r="F659" t="str">
            <v>TJS</v>
          </cell>
          <cell r="G659">
            <v>12</v>
          </cell>
          <cell r="H659">
            <v>22000</v>
          </cell>
          <cell r="I659">
            <v>1</v>
          </cell>
          <cell r="J659" t="str">
            <v>ТАК ПСБ "Ориёнбанк"</v>
          </cell>
          <cell r="K659">
            <v>264000</v>
          </cell>
          <cell r="L659">
            <v>22000</v>
          </cell>
          <cell r="M659">
            <v>1</v>
          </cell>
          <cell r="N659">
            <v>264000</v>
          </cell>
        </row>
        <row r="660">
          <cell r="A660">
            <v>2003</v>
          </cell>
          <cell r="B660">
            <v>4</v>
          </cell>
          <cell r="C660">
            <v>2</v>
          </cell>
          <cell r="D660">
            <v>180</v>
          </cell>
          <cell r="E660">
            <v>2</v>
          </cell>
          <cell r="F660" t="str">
            <v>TJS</v>
          </cell>
          <cell r="G660">
            <v>15</v>
          </cell>
          <cell r="H660">
            <v>1200</v>
          </cell>
          <cell r="I660">
            <v>1</v>
          </cell>
          <cell r="J660" t="str">
            <v>ТАК ПСБ "Ориёнбанк"</v>
          </cell>
          <cell r="K660">
            <v>18000</v>
          </cell>
          <cell r="L660">
            <v>1200</v>
          </cell>
          <cell r="M660">
            <v>1</v>
          </cell>
          <cell r="N660">
            <v>18000</v>
          </cell>
        </row>
        <row r="661">
          <cell r="A661">
            <v>2003</v>
          </cell>
          <cell r="B661">
            <v>4</v>
          </cell>
          <cell r="C661">
            <v>2</v>
          </cell>
          <cell r="D661">
            <v>360</v>
          </cell>
          <cell r="E661">
            <v>1</v>
          </cell>
          <cell r="F661" t="str">
            <v>TJS</v>
          </cell>
          <cell r="G661">
            <v>12</v>
          </cell>
          <cell r="H661">
            <v>5000</v>
          </cell>
          <cell r="I661">
            <v>1</v>
          </cell>
          <cell r="J661" t="str">
            <v>ТАК ПСБ "Ориёнбанк"</v>
          </cell>
          <cell r="K661">
            <v>60000</v>
          </cell>
          <cell r="L661">
            <v>5000</v>
          </cell>
          <cell r="M661">
            <v>1</v>
          </cell>
          <cell r="N661">
            <v>60000</v>
          </cell>
        </row>
        <row r="662">
          <cell r="A662">
            <v>2003</v>
          </cell>
          <cell r="B662">
            <v>4</v>
          </cell>
          <cell r="C662">
            <v>2</v>
          </cell>
          <cell r="D662">
            <v>360</v>
          </cell>
          <cell r="E662">
            <v>1</v>
          </cell>
          <cell r="F662" t="str">
            <v>TJS</v>
          </cell>
          <cell r="G662">
            <v>20</v>
          </cell>
          <cell r="H662">
            <v>50000</v>
          </cell>
          <cell r="I662">
            <v>3</v>
          </cell>
          <cell r="J662" t="str">
            <v>ТАК ПСБ "Ориёнбанк"</v>
          </cell>
          <cell r="K662">
            <v>1000000</v>
          </cell>
          <cell r="L662">
            <v>50000</v>
          </cell>
          <cell r="M662">
            <v>1</v>
          </cell>
          <cell r="N662">
            <v>1000000</v>
          </cell>
        </row>
        <row r="663">
          <cell r="A663">
            <v>2003</v>
          </cell>
          <cell r="B663">
            <v>4</v>
          </cell>
          <cell r="C663">
            <v>2</v>
          </cell>
          <cell r="D663">
            <v>360</v>
          </cell>
          <cell r="E663">
            <v>2</v>
          </cell>
          <cell r="F663" t="str">
            <v>TJS</v>
          </cell>
          <cell r="G663">
            <v>20</v>
          </cell>
          <cell r="H663">
            <v>199</v>
          </cell>
          <cell r="I663">
            <v>2</v>
          </cell>
          <cell r="J663" t="str">
            <v>ТАК ПСБ "Ориёнбанк"</v>
          </cell>
          <cell r="K663">
            <v>3980</v>
          </cell>
          <cell r="L663">
            <v>199</v>
          </cell>
          <cell r="M663">
            <v>1</v>
          </cell>
          <cell r="N663">
            <v>3980</v>
          </cell>
        </row>
        <row r="664">
          <cell r="A664">
            <v>2003</v>
          </cell>
          <cell r="B664">
            <v>4</v>
          </cell>
          <cell r="C664">
            <v>2</v>
          </cell>
          <cell r="D664">
            <v>390</v>
          </cell>
          <cell r="E664">
            <v>2</v>
          </cell>
          <cell r="F664" t="str">
            <v>TJS</v>
          </cell>
          <cell r="G664">
            <v>20</v>
          </cell>
          <cell r="H664">
            <v>1998</v>
          </cell>
          <cell r="I664">
            <v>3</v>
          </cell>
          <cell r="J664" t="str">
            <v>ТАК ПСБ "Ориёнбанк"</v>
          </cell>
          <cell r="K664">
            <v>39960</v>
          </cell>
          <cell r="L664">
            <v>1998</v>
          </cell>
          <cell r="M664">
            <v>1</v>
          </cell>
          <cell r="N664">
            <v>39960</v>
          </cell>
        </row>
        <row r="665">
          <cell r="A665">
            <v>2003</v>
          </cell>
          <cell r="B665">
            <v>4</v>
          </cell>
          <cell r="C665">
            <v>2</v>
          </cell>
          <cell r="D665">
            <v>420</v>
          </cell>
          <cell r="E665">
            <v>2</v>
          </cell>
          <cell r="F665" t="str">
            <v>TJS</v>
          </cell>
          <cell r="G665">
            <v>25</v>
          </cell>
          <cell r="H665">
            <v>10000</v>
          </cell>
          <cell r="I665">
            <v>1</v>
          </cell>
          <cell r="J665" t="str">
            <v>ТАК ПСБ "Ориёнбанк"</v>
          </cell>
          <cell r="K665">
            <v>250000</v>
          </cell>
          <cell r="L665">
            <v>10000</v>
          </cell>
          <cell r="M665">
            <v>1</v>
          </cell>
          <cell r="N665">
            <v>250000</v>
          </cell>
        </row>
        <row r="666">
          <cell r="A666">
            <v>2003</v>
          </cell>
          <cell r="B666">
            <v>4</v>
          </cell>
          <cell r="C666">
            <v>2</v>
          </cell>
          <cell r="D666">
            <v>510</v>
          </cell>
          <cell r="E666">
            <v>2</v>
          </cell>
          <cell r="F666" t="str">
            <v>TJS</v>
          </cell>
          <cell r="G666">
            <v>25</v>
          </cell>
          <cell r="H666">
            <v>30000</v>
          </cell>
          <cell r="I666">
            <v>1</v>
          </cell>
          <cell r="J666" t="str">
            <v>ТАК ПСБ "Ориёнбанк"</v>
          </cell>
          <cell r="K666">
            <v>750000</v>
          </cell>
          <cell r="L666">
            <v>30000</v>
          </cell>
          <cell r="M666">
            <v>1</v>
          </cell>
          <cell r="N666">
            <v>750000</v>
          </cell>
        </row>
        <row r="667">
          <cell r="A667">
            <v>2003</v>
          </cell>
          <cell r="B667">
            <v>4</v>
          </cell>
          <cell r="C667">
            <v>2</v>
          </cell>
          <cell r="D667">
            <v>540</v>
          </cell>
          <cell r="E667">
            <v>2</v>
          </cell>
          <cell r="F667" t="str">
            <v>TJS</v>
          </cell>
          <cell r="G667">
            <v>25</v>
          </cell>
          <cell r="H667">
            <v>10000</v>
          </cell>
          <cell r="I667">
            <v>1</v>
          </cell>
          <cell r="J667" t="str">
            <v>ТАК ПСБ "Ориёнбанк"</v>
          </cell>
          <cell r="K667">
            <v>250000</v>
          </cell>
          <cell r="L667">
            <v>10000</v>
          </cell>
          <cell r="M667">
            <v>1</v>
          </cell>
          <cell r="N667">
            <v>250000</v>
          </cell>
        </row>
        <row r="668">
          <cell r="A668">
            <v>2003</v>
          </cell>
          <cell r="B668">
            <v>4</v>
          </cell>
          <cell r="C668">
            <v>2</v>
          </cell>
          <cell r="D668">
            <v>600</v>
          </cell>
          <cell r="E668">
            <v>2</v>
          </cell>
          <cell r="F668" t="str">
            <v>TJS</v>
          </cell>
          <cell r="G668">
            <v>25</v>
          </cell>
          <cell r="H668">
            <v>1000</v>
          </cell>
          <cell r="I668">
            <v>1</v>
          </cell>
          <cell r="J668" t="str">
            <v>ТАК ПСБ "Ориёнбанк"</v>
          </cell>
          <cell r="K668">
            <v>25000</v>
          </cell>
          <cell r="L668">
            <v>1000</v>
          </cell>
          <cell r="M668">
            <v>1</v>
          </cell>
          <cell r="N668">
            <v>25000</v>
          </cell>
        </row>
        <row r="669">
          <cell r="A669">
            <v>2003</v>
          </cell>
          <cell r="B669">
            <v>4</v>
          </cell>
          <cell r="C669">
            <v>2</v>
          </cell>
          <cell r="D669">
            <v>1080</v>
          </cell>
          <cell r="E669">
            <v>2</v>
          </cell>
          <cell r="F669" t="str">
            <v>TJS</v>
          </cell>
          <cell r="G669">
            <v>30</v>
          </cell>
          <cell r="H669">
            <v>800</v>
          </cell>
          <cell r="I669">
            <v>2</v>
          </cell>
          <cell r="J669" t="str">
            <v>ТАК ПСБ "Ориёнбанк"</v>
          </cell>
          <cell r="K669">
            <v>24000</v>
          </cell>
          <cell r="L669">
            <v>800</v>
          </cell>
          <cell r="M669">
            <v>1</v>
          </cell>
          <cell r="N669">
            <v>24000</v>
          </cell>
        </row>
        <row r="670">
          <cell r="A670">
            <v>2003</v>
          </cell>
          <cell r="B670">
            <v>4</v>
          </cell>
          <cell r="C670">
            <v>2</v>
          </cell>
          <cell r="D670">
            <v>1170</v>
          </cell>
          <cell r="E670">
            <v>2</v>
          </cell>
          <cell r="F670" t="str">
            <v>TJS</v>
          </cell>
          <cell r="G670">
            <v>30</v>
          </cell>
          <cell r="H670">
            <v>5600</v>
          </cell>
          <cell r="I670">
            <v>3</v>
          </cell>
          <cell r="J670" t="str">
            <v>ТАК ПСБ "Ориёнбанк"</v>
          </cell>
          <cell r="K670">
            <v>168000</v>
          </cell>
          <cell r="L670">
            <v>5600</v>
          </cell>
          <cell r="M670">
            <v>1</v>
          </cell>
          <cell r="N670">
            <v>168000</v>
          </cell>
        </row>
        <row r="671">
          <cell r="A671">
            <v>2003</v>
          </cell>
          <cell r="B671">
            <v>4</v>
          </cell>
          <cell r="C671">
            <v>3</v>
          </cell>
          <cell r="D671">
            <v>0</v>
          </cell>
          <cell r="E671">
            <v>2</v>
          </cell>
          <cell r="F671" t="str">
            <v>TJS</v>
          </cell>
          <cell r="G671">
            <v>5</v>
          </cell>
          <cell r="H671">
            <v>813206</v>
          </cell>
          <cell r="I671">
            <v>512</v>
          </cell>
          <cell r="J671" t="str">
            <v>ТАК ПСБ "Ориёнбанк"</v>
          </cell>
          <cell r="K671">
            <v>4066030</v>
          </cell>
          <cell r="L671">
            <v>813206</v>
          </cell>
          <cell r="M671">
            <v>1</v>
          </cell>
          <cell r="N671">
            <v>4066030</v>
          </cell>
        </row>
        <row r="672">
          <cell r="A672">
            <v>2003</v>
          </cell>
          <cell r="B672">
            <v>4</v>
          </cell>
          <cell r="C672">
            <v>1</v>
          </cell>
          <cell r="D672">
            <v>0</v>
          </cell>
          <cell r="E672">
            <v>0</v>
          </cell>
          <cell r="F672" t="str">
            <v>USD</v>
          </cell>
          <cell r="G672">
            <v>0</v>
          </cell>
          <cell r="H672">
            <v>266544</v>
          </cell>
          <cell r="I672">
            <v>8</v>
          </cell>
          <cell r="J672" t="str">
            <v>ТАК ПСБ "Ориёнбанк"</v>
          </cell>
          <cell r="K672">
            <v>0</v>
          </cell>
          <cell r="L672">
            <v>266544</v>
          </cell>
          <cell r="M672">
            <v>1</v>
          </cell>
          <cell r="N672">
            <v>0</v>
          </cell>
        </row>
        <row r="673">
          <cell r="A673">
            <v>2003</v>
          </cell>
          <cell r="B673">
            <v>4</v>
          </cell>
          <cell r="C673">
            <v>1</v>
          </cell>
          <cell r="D673">
            <v>0</v>
          </cell>
          <cell r="E673">
            <v>1</v>
          </cell>
          <cell r="F673" t="str">
            <v>USD</v>
          </cell>
          <cell r="G673">
            <v>0</v>
          </cell>
          <cell r="H673">
            <v>23834073</v>
          </cell>
          <cell r="I673">
            <v>362</v>
          </cell>
          <cell r="J673" t="str">
            <v>ТАК ПСБ "Ориёнбанк"</v>
          </cell>
          <cell r="K673">
            <v>0</v>
          </cell>
          <cell r="L673">
            <v>23834073</v>
          </cell>
          <cell r="M673">
            <v>1</v>
          </cell>
          <cell r="N673">
            <v>0</v>
          </cell>
        </row>
        <row r="674">
          <cell r="A674">
            <v>2003</v>
          </cell>
          <cell r="B674">
            <v>4</v>
          </cell>
          <cell r="C674">
            <v>1</v>
          </cell>
          <cell r="D674">
            <v>0</v>
          </cell>
          <cell r="E674">
            <v>2</v>
          </cell>
          <cell r="F674" t="str">
            <v>USD</v>
          </cell>
          <cell r="G674">
            <v>0</v>
          </cell>
          <cell r="H674">
            <v>30638</v>
          </cell>
          <cell r="I674">
            <v>13</v>
          </cell>
          <cell r="J674" t="str">
            <v>ТАК ПСБ "Ориёнбанк"</v>
          </cell>
          <cell r="K674">
            <v>0</v>
          </cell>
          <cell r="L674">
            <v>30638</v>
          </cell>
          <cell r="M674">
            <v>1</v>
          </cell>
          <cell r="N674">
            <v>0</v>
          </cell>
        </row>
        <row r="675">
          <cell r="A675">
            <v>2003</v>
          </cell>
          <cell r="B675">
            <v>4</v>
          </cell>
          <cell r="C675">
            <v>2</v>
          </cell>
          <cell r="D675">
            <v>30</v>
          </cell>
          <cell r="E675">
            <v>2</v>
          </cell>
          <cell r="F675" t="str">
            <v>USD</v>
          </cell>
          <cell r="G675">
            <v>5</v>
          </cell>
          <cell r="H675">
            <v>16023</v>
          </cell>
          <cell r="I675">
            <v>2</v>
          </cell>
          <cell r="J675" t="str">
            <v>ТАК ПСБ "Ориёнбанк"</v>
          </cell>
          <cell r="K675">
            <v>80115</v>
          </cell>
          <cell r="L675">
            <v>16023</v>
          </cell>
          <cell r="M675">
            <v>1</v>
          </cell>
          <cell r="N675">
            <v>80115</v>
          </cell>
        </row>
        <row r="676">
          <cell r="A676">
            <v>2003</v>
          </cell>
          <cell r="B676">
            <v>4</v>
          </cell>
          <cell r="C676">
            <v>2</v>
          </cell>
          <cell r="D676">
            <v>180</v>
          </cell>
          <cell r="E676">
            <v>2</v>
          </cell>
          <cell r="F676" t="str">
            <v>USD</v>
          </cell>
          <cell r="G676">
            <v>8</v>
          </cell>
          <cell r="H676">
            <v>8343</v>
          </cell>
          <cell r="I676">
            <v>1</v>
          </cell>
          <cell r="J676" t="str">
            <v>ТАК ПСБ "Ориёнбанк"</v>
          </cell>
          <cell r="K676">
            <v>66744</v>
          </cell>
          <cell r="L676">
            <v>8343</v>
          </cell>
          <cell r="M676">
            <v>1</v>
          </cell>
          <cell r="N676">
            <v>66744</v>
          </cell>
        </row>
        <row r="677">
          <cell r="A677">
            <v>2003</v>
          </cell>
          <cell r="B677">
            <v>4</v>
          </cell>
          <cell r="C677">
            <v>2</v>
          </cell>
          <cell r="D677">
            <v>180</v>
          </cell>
          <cell r="E677">
            <v>2</v>
          </cell>
          <cell r="F677" t="str">
            <v>USD</v>
          </cell>
          <cell r="G677">
            <v>10</v>
          </cell>
          <cell r="H677">
            <v>3135</v>
          </cell>
          <cell r="I677">
            <v>1</v>
          </cell>
          <cell r="J677" t="str">
            <v>ТАК ПСБ "Ориёнбанк"</v>
          </cell>
          <cell r="K677">
            <v>31350</v>
          </cell>
          <cell r="L677">
            <v>3135</v>
          </cell>
          <cell r="M677">
            <v>1</v>
          </cell>
          <cell r="N677">
            <v>31350</v>
          </cell>
        </row>
        <row r="678">
          <cell r="A678">
            <v>2003</v>
          </cell>
          <cell r="B678">
            <v>4</v>
          </cell>
          <cell r="C678">
            <v>2</v>
          </cell>
          <cell r="D678">
            <v>190</v>
          </cell>
          <cell r="E678">
            <v>2</v>
          </cell>
          <cell r="F678" t="str">
            <v>USD</v>
          </cell>
          <cell r="G678">
            <v>18</v>
          </cell>
          <cell r="H678">
            <v>13865</v>
          </cell>
          <cell r="I678">
            <v>2</v>
          </cell>
          <cell r="J678" t="str">
            <v>ТАК ПСБ "Ориёнбанк"</v>
          </cell>
          <cell r="K678">
            <v>249570</v>
          </cell>
          <cell r="L678">
            <v>13865</v>
          </cell>
          <cell r="M678">
            <v>1</v>
          </cell>
          <cell r="N678">
            <v>249570</v>
          </cell>
        </row>
        <row r="679">
          <cell r="A679">
            <v>2003</v>
          </cell>
          <cell r="B679">
            <v>4</v>
          </cell>
          <cell r="C679">
            <v>2</v>
          </cell>
          <cell r="D679">
            <v>360</v>
          </cell>
          <cell r="E679">
            <v>2</v>
          </cell>
          <cell r="F679" t="str">
            <v>USD</v>
          </cell>
          <cell r="G679">
            <v>10</v>
          </cell>
          <cell r="H679">
            <v>9706</v>
          </cell>
          <cell r="I679">
            <v>2</v>
          </cell>
          <cell r="J679" t="str">
            <v>ТАК ПСБ "Ориёнбанк"</v>
          </cell>
          <cell r="K679">
            <v>97060</v>
          </cell>
          <cell r="L679">
            <v>9706</v>
          </cell>
          <cell r="M679">
            <v>1</v>
          </cell>
          <cell r="N679">
            <v>97060</v>
          </cell>
        </row>
        <row r="680">
          <cell r="A680">
            <v>2003</v>
          </cell>
          <cell r="B680">
            <v>4</v>
          </cell>
          <cell r="C680">
            <v>2</v>
          </cell>
          <cell r="D680">
            <v>380</v>
          </cell>
          <cell r="E680">
            <v>2</v>
          </cell>
          <cell r="F680" t="str">
            <v>USD</v>
          </cell>
          <cell r="G680">
            <v>10</v>
          </cell>
          <cell r="H680">
            <v>14523</v>
          </cell>
          <cell r="I680">
            <v>1</v>
          </cell>
          <cell r="J680" t="str">
            <v>ТАК ПСБ "Ориёнбанк"</v>
          </cell>
          <cell r="K680">
            <v>145230</v>
          </cell>
          <cell r="L680">
            <v>14523</v>
          </cell>
          <cell r="M680">
            <v>1</v>
          </cell>
          <cell r="N680">
            <v>145230</v>
          </cell>
        </row>
        <row r="681">
          <cell r="A681">
            <v>2003</v>
          </cell>
          <cell r="B681">
            <v>4</v>
          </cell>
          <cell r="C681">
            <v>2</v>
          </cell>
          <cell r="D681">
            <v>730</v>
          </cell>
          <cell r="E681">
            <v>2</v>
          </cell>
          <cell r="F681" t="str">
            <v>USD</v>
          </cell>
          <cell r="G681">
            <v>18</v>
          </cell>
          <cell r="H681">
            <v>2465</v>
          </cell>
          <cell r="I681">
            <v>1</v>
          </cell>
          <cell r="J681" t="str">
            <v>ТАК ПСБ "Ориёнбанк"</v>
          </cell>
          <cell r="K681">
            <v>44370</v>
          </cell>
          <cell r="L681">
            <v>2465</v>
          </cell>
          <cell r="M681">
            <v>1</v>
          </cell>
          <cell r="N681">
            <v>44370</v>
          </cell>
        </row>
        <row r="682">
          <cell r="A682">
            <v>2003</v>
          </cell>
          <cell r="B682">
            <v>4</v>
          </cell>
          <cell r="C682">
            <v>3</v>
          </cell>
          <cell r="D682">
            <v>0</v>
          </cell>
          <cell r="E682">
            <v>2</v>
          </cell>
          <cell r="F682" t="str">
            <v>USD</v>
          </cell>
          <cell r="G682">
            <v>0</v>
          </cell>
          <cell r="H682">
            <v>34287</v>
          </cell>
          <cell r="I682">
            <v>168</v>
          </cell>
          <cell r="J682" t="str">
            <v>ТАК ПСБ "Ориёнбанк"</v>
          </cell>
          <cell r="K682">
            <v>0</v>
          </cell>
          <cell r="L682">
            <v>34287</v>
          </cell>
          <cell r="M682">
            <v>1</v>
          </cell>
          <cell r="N682">
            <v>0</v>
          </cell>
        </row>
        <row r="683">
          <cell r="A683">
            <v>2003</v>
          </cell>
          <cell r="B683">
            <v>4</v>
          </cell>
          <cell r="C683">
            <v>1</v>
          </cell>
          <cell r="D683">
            <v>0</v>
          </cell>
          <cell r="E683">
            <v>1</v>
          </cell>
          <cell r="F683" t="str">
            <v>RUR</v>
          </cell>
          <cell r="G683">
            <v>0</v>
          </cell>
          <cell r="H683">
            <v>2845145</v>
          </cell>
          <cell r="I683">
            <v>108</v>
          </cell>
          <cell r="J683" t="str">
            <v>ТАК ПСБ "Ориёнбанк"</v>
          </cell>
          <cell r="K683">
            <v>0</v>
          </cell>
          <cell r="L683">
            <v>2779408.191918199</v>
          </cell>
          <cell r="M683">
            <v>0.9768950938944058</v>
          </cell>
          <cell r="N683">
            <v>0</v>
          </cell>
        </row>
        <row r="684">
          <cell r="A684">
            <v>2003</v>
          </cell>
          <cell r="B684">
            <v>4</v>
          </cell>
          <cell r="C684">
            <v>1</v>
          </cell>
          <cell r="D684">
            <v>0</v>
          </cell>
          <cell r="E684">
            <v>1</v>
          </cell>
          <cell r="F684" t="str">
            <v>EURO</v>
          </cell>
          <cell r="G684">
            <v>0</v>
          </cell>
          <cell r="H684">
            <v>12371</v>
          </cell>
          <cell r="I684">
            <v>1</v>
          </cell>
          <cell r="J684" t="str">
            <v>ТАК ПСБ "Ориёнбанк"</v>
          </cell>
          <cell r="K684">
            <v>0</v>
          </cell>
          <cell r="L684">
            <v>11708.906611432385</v>
          </cell>
          <cell r="M684">
            <v>0.9464802046263345</v>
          </cell>
          <cell r="N684">
            <v>0</v>
          </cell>
        </row>
        <row r="685">
          <cell r="A685">
            <v>2003</v>
          </cell>
          <cell r="B685">
            <v>4</v>
          </cell>
          <cell r="C685">
            <v>1</v>
          </cell>
          <cell r="D685">
            <v>0</v>
          </cell>
          <cell r="E685">
            <v>1</v>
          </cell>
          <cell r="F685" t="str">
            <v>TJS</v>
          </cell>
          <cell r="G685">
            <v>0</v>
          </cell>
          <cell r="H685">
            <v>1127554</v>
          </cell>
          <cell r="I685">
            <v>4</v>
          </cell>
          <cell r="J685" t="str">
            <v>КБ "Сомон-банк"</v>
          </cell>
          <cell r="K685">
            <v>0</v>
          </cell>
          <cell r="L685">
            <v>1127554</v>
          </cell>
          <cell r="M685">
            <v>1</v>
          </cell>
          <cell r="N685">
            <v>0</v>
          </cell>
        </row>
        <row r="686">
          <cell r="A686">
            <v>2003</v>
          </cell>
          <cell r="B686">
            <v>4</v>
          </cell>
          <cell r="C686">
            <v>3</v>
          </cell>
          <cell r="D686">
            <v>90</v>
          </cell>
          <cell r="E686">
            <v>2</v>
          </cell>
          <cell r="F686" t="str">
            <v>TJS</v>
          </cell>
          <cell r="G686">
            <v>1</v>
          </cell>
          <cell r="H686">
            <v>1540</v>
          </cell>
          <cell r="I686">
            <v>1</v>
          </cell>
          <cell r="J686" t="str">
            <v>КБ "Сомон-банк"</v>
          </cell>
          <cell r="K686">
            <v>1540</v>
          </cell>
          <cell r="L686">
            <v>1540</v>
          </cell>
          <cell r="M686">
            <v>1</v>
          </cell>
          <cell r="N686">
            <v>1540</v>
          </cell>
        </row>
        <row r="687">
          <cell r="A687">
            <v>2003</v>
          </cell>
          <cell r="B687">
            <v>4</v>
          </cell>
          <cell r="C687">
            <v>2</v>
          </cell>
          <cell r="D687">
            <v>360</v>
          </cell>
          <cell r="E687">
            <v>2</v>
          </cell>
          <cell r="F687" t="str">
            <v>USD</v>
          </cell>
          <cell r="G687">
            <v>18</v>
          </cell>
          <cell r="H687">
            <v>6162</v>
          </cell>
          <cell r="I687">
            <v>1</v>
          </cell>
          <cell r="J687" t="str">
            <v>КБ "Сомон-банк"</v>
          </cell>
          <cell r="K687">
            <v>110916</v>
          </cell>
          <cell r="L687">
            <v>6162</v>
          </cell>
          <cell r="M687">
            <v>1</v>
          </cell>
          <cell r="N687">
            <v>110916</v>
          </cell>
        </row>
        <row r="688">
          <cell r="A688">
            <v>2003</v>
          </cell>
          <cell r="B688">
            <v>4</v>
          </cell>
          <cell r="C688">
            <v>1</v>
          </cell>
          <cell r="D688">
            <v>0</v>
          </cell>
          <cell r="E688">
            <v>1</v>
          </cell>
          <cell r="F688" t="str">
            <v>USD</v>
          </cell>
          <cell r="G688">
            <v>0</v>
          </cell>
          <cell r="H688">
            <v>845990</v>
          </cell>
          <cell r="I688">
            <v>3</v>
          </cell>
          <cell r="J688" t="str">
            <v>КБ "Сомон-банк"</v>
          </cell>
          <cell r="K688">
            <v>0</v>
          </cell>
          <cell r="L688">
            <v>845990</v>
          </cell>
          <cell r="M688">
            <v>1</v>
          </cell>
          <cell r="N688">
            <v>0</v>
          </cell>
        </row>
        <row r="689">
          <cell r="A689">
            <v>2003</v>
          </cell>
          <cell r="B689">
            <v>4</v>
          </cell>
          <cell r="C689">
            <v>1</v>
          </cell>
          <cell r="D689">
            <v>0</v>
          </cell>
          <cell r="E689">
            <v>1</v>
          </cell>
          <cell r="F689" t="str">
            <v>TJS</v>
          </cell>
          <cell r="G689">
            <v>0</v>
          </cell>
          <cell r="H689">
            <v>1691291</v>
          </cell>
          <cell r="I689">
            <v>4</v>
          </cell>
          <cell r="J689" t="str">
            <v>СЛТ АКБ "Ист-Кредитбанк"</v>
          </cell>
          <cell r="K689">
            <v>0</v>
          </cell>
          <cell r="L689">
            <v>1691291</v>
          </cell>
          <cell r="M689">
            <v>1</v>
          </cell>
          <cell r="N689">
            <v>0</v>
          </cell>
        </row>
        <row r="690">
          <cell r="A690">
            <v>2003</v>
          </cell>
          <cell r="B690">
            <v>4</v>
          </cell>
          <cell r="C690">
            <v>1</v>
          </cell>
          <cell r="D690">
            <v>0</v>
          </cell>
          <cell r="E690">
            <v>1</v>
          </cell>
          <cell r="F690" t="str">
            <v>USD</v>
          </cell>
          <cell r="G690">
            <v>0</v>
          </cell>
          <cell r="H690">
            <v>127203</v>
          </cell>
          <cell r="I690">
            <v>3</v>
          </cell>
          <cell r="J690" t="str">
            <v>СЛТ АКБ "Ист-Кредитбанк"</v>
          </cell>
          <cell r="K690">
            <v>0</v>
          </cell>
          <cell r="L690">
            <v>127203</v>
          </cell>
          <cell r="M690">
            <v>1</v>
          </cell>
          <cell r="N690">
            <v>0</v>
          </cell>
        </row>
        <row r="691">
          <cell r="A691">
            <v>2003</v>
          </cell>
          <cell r="B691">
            <v>4</v>
          </cell>
          <cell r="C691">
            <v>1</v>
          </cell>
          <cell r="D691">
            <v>0</v>
          </cell>
          <cell r="E691">
            <v>1</v>
          </cell>
          <cell r="F691" t="str">
            <v>RUR</v>
          </cell>
          <cell r="G691">
            <v>0</v>
          </cell>
          <cell r="H691">
            <v>75858</v>
          </cell>
          <cell r="I691">
            <v>1</v>
          </cell>
          <cell r="J691" t="str">
            <v>СЛТ АКБ "Ист-Кредитбанк"</v>
          </cell>
          <cell r="K691">
            <v>0</v>
          </cell>
          <cell r="L691">
            <v>74105.30803264183</v>
          </cell>
          <cell r="M691">
            <v>0.9768950938944058</v>
          </cell>
          <cell r="N691">
            <v>0</v>
          </cell>
        </row>
        <row r="692">
          <cell r="A692">
            <v>2003</v>
          </cell>
          <cell r="B692">
            <v>4</v>
          </cell>
          <cell r="C692">
            <v>1</v>
          </cell>
          <cell r="D692">
            <v>0</v>
          </cell>
          <cell r="E692">
            <v>1</v>
          </cell>
          <cell r="F692" t="str">
            <v>TJS</v>
          </cell>
          <cell r="G692">
            <v>0</v>
          </cell>
          <cell r="H692">
            <v>5534609</v>
          </cell>
          <cell r="I692">
            <v>26</v>
          </cell>
          <cell r="J692" t="str">
            <v>АООТ "Ходжент"</v>
          </cell>
          <cell r="K692">
            <v>0</v>
          </cell>
          <cell r="L692">
            <v>5534609</v>
          </cell>
          <cell r="M692">
            <v>1</v>
          </cell>
          <cell r="N692">
            <v>0</v>
          </cell>
        </row>
        <row r="693">
          <cell r="A693">
            <v>2003</v>
          </cell>
          <cell r="B693">
            <v>4</v>
          </cell>
          <cell r="C693">
            <v>1</v>
          </cell>
          <cell r="D693">
            <v>0</v>
          </cell>
          <cell r="E693">
            <v>1</v>
          </cell>
          <cell r="F693" t="str">
            <v>USD</v>
          </cell>
          <cell r="G693">
            <v>0</v>
          </cell>
          <cell r="H693">
            <v>3602569</v>
          </cell>
          <cell r="I693">
            <v>9</v>
          </cell>
          <cell r="J693" t="str">
            <v>АООТ "Ходжент"</v>
          </cell>
          <cell r="K693">
            <v>0</v>
          </cell>
          <cell r="L693">
            <v>3602569</v>
          </cell>
          <cell r="M693">
            <v>1</v>
          </cell>
          <cell r="N693">
            <v>0</v>
          </cell>
        </row>
        <row r="694">
          <cell r="A694">
            <v>2003</v>
          </cell>
          <cell r="B694">
            <v>5</v>
          </cell>
          <cell r="C694">
            <v>1</v>
          </cell>
          <cell r="D694">
            <v>0</v>
          </cell>
          <cell r="E694">
            <v>1</v>
          </cell>
          <cell r="F694" t="str">
            <v>USD</v>
          </cell>
          <cell r="G694">
            <v>0</v>
          </cell>
          <cell r="H694">
            <v>1773817</v>
          </cell>
          <cell r="I694">
            <v>10</v>
          </cell>
          <cell r="J694" t="str">
            <v>"Тиджорат" ИРИ</v>
          </cell>
          <cell r="K694">
            <v>0</v>
          </cell>
          <cell r="L694">
            <v>1773817</v>
          </cell>
          <cell r="M694">
            <v>1</v>
          </cell>
          <cell r="N694">
            <v>0</v>
          </cell>
        </row>
        <row r="695">
          <cell r="A695">
            <v>2003</v>
          </cell>
          <cell r="B695">
            <v>5</v>
          </cell>
          <cell r="C695">
            <v>1</v>
          </cell>
          <cell r="D695">
            <v>0</v>
          </cell>
          <cell r="E695">
            <v>2</v>
          </cell>
          <cell r="F695" t="str">
            <v>USD</v>
          </cell>
          <cell r="G695">
            <v>0</v>
          </cell>
          <cell r="H695">
            <v>714093</v>
          </cell>
          <cell r="I695">
            <v>23</v>
          </cell>
          <cell r="J695" t="str">
            <v>"Тиджорат" ИРИ</v>
          </cell>
          <cell r="K695">
            <v>0</v>
          </cell>
          <cell r="L695">
            <v>714093</v>
          </cell>
          <cell r="M695">
            <v>1</v>
          </cell>
          <cell r="N695">
            <v>0</v>
          </cell>
        </row>
        <row r="696">
          <cell r="A696">
            <v>2003</v>
          </cell>
          <cell r="B696">
            <v>5</v>
          </cell>
          <cell r="C696">
            <v>1</v>
          </cell>
          <cell r="D696">
            <v>0</v>
          </cell>
          <cell r="E696">
            <v>1</v>
          </cell>
          <cell r="F696" t="str">
            <v>TJS</v>
          </cell>
          <cell r="G696">
            <v>0</v>
          </cell>
          <cell r="H696">
            <v>76613</v>
          </cell>
          <cell r="I696">
            <v>5</v>
          </cell>
          <cell r="J696" t="str">
            <v>"Тиджорат" ИРИ</v>
          </cell>
          <cell r="K696">
            <v>0</v>
          </cell>
          <cell r="L696">
            <v>76613</v>
          </cell>
          <cell r="M696">
            <v>1</v>
          </cell>
          <cell r="N696">
            <v>0</v>
          </cell>
        </row>
        <row r="697">
          <cell r="A697">
            <v>2003</v>
          </cell>
          <cell r="B697">
            <v>5</v>
          </cell>
          <cell r="C697">
            <v>1</v>
          </cell>
          <cell r="D697">
            <v>0</v>
          </cell>
          <cell r="E697">
            <v>2</v>
          </cell>
          <cell r="F697" t="str">
            <v>TJS</v>
          </cell>
          <cell r="G697">
            <v>0</v>
          </cell>
          <cell r="H697">
            <v>153</v>
          </cell>
          <cell r="I697">
            <v>1</v>
          </cell>
          <cell r="J697" t="str">
            <v>"Тиджорат" ИРИ</v>
          </cell>
          <cell r="K697">
            <v>0</v>
          </cell>
          <cell r="L697">
            <v>153</v>
          </cell>
          <cell r="M697">
            <v>1</v>
          </cell>
          <cell r="N697">
            <v>0</v>
          </cell>
        </row>
        <row r="698">
          <cell r="A698">
            <v>2003</v>
          </cell>
          <cell r="B698">
            <v>5</v>
          </cell>
          <cell r="C698">
            <v>3</v>
          </cell>
          <cell r="D698">
            <v>0</v>
          </cell>
          <cell r="E698">
            <v>2</v>
          </cell>
          <cell r="F698" t="str">
            <v>USD</v>
          </cell>
          <cell r="G698">
            <v>0</v>
          </cell>
          <cell r="H698">
            <v>19881</v>
          </cell>
          <cell r="I698">
            <v>4</v>
          </cell>
          <cell r="J698" t="str">
            <v>"Тиджорат" ИРИ</v>
          </cell>
          <cell r="K698">
            <v>0</v>
          </cell>
          <cell r="L698">
            <v>19881</v>
          </cell>
          <cell r="M698">
            <v>1</v>
          </cell>
          <cell r="N698">
            <v>0</v>
          </cell>
        </row>
        <row r="699">
          <cell r="A699">
            <v>2003</v>
          </cell>
          <cell r="B699">
            <v>5</v>
          </cell>
          <cell r="C699">
            <v>1</v>
          </cell>
          <cell r="D699">
            <v>0</v>
          </cell>
          <cell r="E699">
            <v>1</v>
          </cell>
          <cell r="F699" t="str">
            <v>TJS</v>
          </cell>
          <cell r="G699">
            <v>0</v>
          </cell>
          <cell r="H699">
            <v>70532352</v>
          </cell>
          <cell r="I699">
            <v>1493</v>
          </cell>
          <cell r="J699" t="str">
            <v>АК АПИБ "Агроинвестбанк"</v>
          </cell>
          <cell r="K699">
            <v>0</v>
          </cell>
          <cell r="L699">
            <v>70532352</v>
          </cell>
          <cell r="M699">
            <v>1</v>
          </cell>
          <cell r="N699">
            <v>0</v>
          </cell>
        </row>
        <row r="700">
          <cell r="A700">
            <v>2003</v>
          </cell>
          <cell r="B700">
            <v>5</v>
          </cell>
          <cell r="C700">
            <v>1</v>
          </cell>
          <cell r="D700">
            <v>0</v>
          </cell>
          <cell r="E700">
            <v>2</v>
          </cell>
          <cell r="F700" t="str">
            <v>TJS</v>
          </cell>
          <cell r="G700">
            <v>0</v>
          </cell>
          <cell r="H700">
            <v>77932</v>
          </cell>
          <cell r="I700">
            <v>6</v>
          </cell>
          <cell r="J700" t="str">
            <v>АК АПИБ "Агроинвестбанк"</v>
          </cell>
          <cell r="K700">
            <v>0</v>
          </cell>
          <cell r="L700">
            <v>77932</v>
          </cell>
          <cell r="M700">
            <v>1</v>
          </cell>
          <cell r="N700">
            <v>0</v>
          </cell>
        </row>
        <row r="701">
          <cell r="A701">
            <v>2003</v>
          </cell>
          <cell r="B701">
            <v>5</v>
          </cell>
          <cell r="C701">
            <v>3</v>
          </cell>
          <cell r="D701">
            <v>0</v>
          </cell>
          <cell r="E701">
            <v>2</v>
          </cell>
          <cell r="F701" t="str">
            <v>TJS</v>
          </cell>
          <cell r="G701">
            <v>15</v>
          </cell>
          <cell r="H701">
            <v>75366</v>
          </cell>
          <cell r="I701">
            <v>26</v>
          </cell>
          <cell r="J701" t="str">
            <v>АК АПИБ "Агроинвестбанк"</v>
          </cell>
          <cell r="K701">
            <v>1130490</v>
          </cell>
          <cell r="L701">
            <v>75366</v>
          </cell>
          <cell r="M701">
            <v>1</v>
          </cell>
          <cell r="N701">
            <v>1130490</v>
          </cell>
        </row>
        <row r="702">
          <cell r="A702">
            <v>2003</v>
          </cell>
          <cell r="B702">
            <v>5</v>
          </cell>
          <cell r="C702">
            <v>2</v>
          </cell>
          <cell r="D702">
            <v>30</v>
          </cell>
          <cell r="E702">
            <v>1</v>
          </cell>
          <cell r="F702" t="str">
            <v>TJS</v>
          </cell>
          <cell r="G702">
            <v>15</v>
          </cell>
          <cell r="H702">
            <v>232000</v>
          </cell>
          <cell r="I702">
            <v>1</v>
          </cell>
          <cell r="J702" t="str">
            <v>АК АПИБ "Агроинвестбанк"</v>
          </cell>
          <cell r="K702">
            <v>3480000</v>
          </cell>
          <cell r="L702">
            <v>232000</v>
          </cell>
          <cell r="M702">
            <v>1</v>
          </cell>
          <cell r="N702">
            <v>3480000</v>
          </cell>
        </row>
        <row r="703">
          <cell r="A703">
            <v>2003</v>
          </cell>
          <cell r="B703">
            <v>5</v>
          </cell>
          <cell r="C703">
            <v>2</v>
          </cell>
          <cell r="D703">
            <v>90</v>
          </cell>
          <cell r="E703">
            <v>1</v>
          </cell>
          <cell r="F703" t="str">
            <v>TJS</v>
          </cell>
          <cell r="G703">
            <v>15</v>
          </cell>
          <cell r="H703">
            <v>18540</v>
          </cell>
          <cell r="I703">
            <v>2</v>
          </cell>
          <cell r="J703" t="str">
            <v>АК АПИБ "Агроинвестбанк"</v>
          </cell>
          <cell r="K703">
            <v>278100</v>
          </cell>
          <cell r="L703">
            <v>18540</v>
          </cell>
          <cell r="M703">
            <v>1</v>
          </cell>
          <cell r="N703">
            <v>278100</v>
          </cell>
        </row>
        <row r="704">
          <cell r="A704">
            <v>2003</v>
          </cell>
          <cell r="B704">
            <v>5</v>
          </cell>
          <cell r="C704">
            <v>2</v>
          </cell>
          <cell r="D704">
            <v>180</v>
          </cell>
          <cell r="E704">
            <v>1</v>
          </cell>
          <cell r="F704" t="str">
            <v>TJS</v>
          </cell>
          <cell r="G704">
            <v>15</v>
          </cell>
          <cell r="H704">
            <v>46707</v>
          </cell>
          <cell r="I704">
            <v>3</v>
          </cell>
          <cell r="J704" t="str">
            <v>АК АПИБ "Агроинвестбанк"</v>
          </cell>
          <cell r="K704">
            <v>700605</v>
          </cell>
          <cell r="L704">
            <v>46707</v>
          </cell>
          <cell r="M704">
            <v>1</v>
          </cell>
          <cell r="N704">
            <v>700605</v>
          </cell>
        </row>
        <row r="705">
          <cell r="A705">
            <v>2003</v>
          </cell>
          <cell r="B705">
            <v>5</v>
          </cell>
          <cell r="C705">
            <v>2</v>
          </cell>
          <cell r="D705">
            <v>360</v>
          </cell>
          <cell r="E705">
            <v>1</v>
          </cell>
          <cell r="F705" t="str">
            <v>TJS</v>
          </cell>
          <cell r="G705">
            <v>16</v>
          </cell>
          <cell r="H705">
            <v>7000</v>
          </cell>
          <cell r="I705">
            <v>1</v>
          </cell>
          <cell r="J705" t="str">
            <v>АК АПИБ "Агроинвестбанк"</v>
          </cell>
          <cell r="K705">
            <v>112000</v>
          </cell>
          <cell r="L705">
            <v>7000</v>
          </cell>
          <cell r="M705">
            <v>1</v>
          </cell>
          <cell r="N705">
            <v>112000</v>
          </cell>
        </row>
        <row r="706">
          <cell r="A706">
            <v>2003</v>
          </cell>
          <cell r="B706">
            <v>5</v>
          </cell>
          <cell r="C706">
            <v>2</v>
          </cell>
          <cell r="D706">
            <v>180</v>
          </cell>
          <cell r="E706">
            <v>2</v>
          </cell>
          <cell r="F706" t="str">
            <v>TJS</v>
          </cell>
          <cell r="G706">
            <v>15</v>
          </cell>
          <cell r="H706">
            <v>3000</v>
          </cell>
          <cell r="I706">
            <v>3</v>
          </cell>
          <cell r="J706" t="str">
            <v>АК АПИБ "Агроинвестбанк"</v>
          </cell>
          <cell r="K706">
            <v>45000</v>
          </cell>
          <cell r="L706">
            <v>3000</v>
          </cell>
          <cell r="M706">
            <v>1</v>
          </cell>
          <cell r="N706">
            <v>45000</v>
          </cell>
        </row>
        <row r="707">
          <cell r="A707">
            <v>2003</v>
          </cell>
          <cell r="B707">
            <v>5</v>
          </cell>
          <cell r="C707">
            <v>2</v>
          </cell>
          <cell r="D707">
            <v>360</v>
          </cell>
          <cell r="E707">
            <v>2</v>
          </cell>
          <cell r="F707" t="str">
            <v>TJS</v>
          </cell>
          <cell r="G707">
            <v>16</v>
          </cell>
          <cell r="H707">
            <v>30154</v>
          </cell>
          <cell r="I707">
            <v>12</v>
          </cell>
          <cell r="J707" t="str">
            <v>АК АПИБ "Агроинвестбанк"</v>
          </cell>
          <cell r="K707">
            <v>482464</v>
          </cell>
          <cell r="L707">
            <v>30154</v>
          </cell>
          <cell r="M707">
            <v>1</v>
          </cell>
          <cell r="N707">
            <v>482464</v>
          </cell>
        </row>
        <row r="708">
          <cell r="A708">
            <v>2003</v>
          </cell>
          <cell r="B708">
            <v>5</v>
          </cell>
          <cell r="C708">
            <v>2</v>
          </cell>
          <cell r="D708">
            <v>366</v>
          </cell>
          <cell r="E708">
            <v>2</v>
          </cell>
          <cell r="F708" t="str">
            <v>TJS</v>
          </cell>
          <cell r="G708">
            <v>17</v>
          </cell>
          <cell r="H708">
            <v>14250</v>
          </cell>
          <cell r="I708">
            <v>6</v>
          </cell>
          <cell r="J708" t="str">
            <v>АК АПИБ "Агроинвестбанк"</v>
          </cell>
          <cell r="K708">
            <v>242250</v>
          </cell>
          <cell r="L708">
            <v>14250</v>
          </cell>
          <cell r="M708">
            <v>1</v>
          </cell>
          <cell r="N708">
            <v>242250</v>
          </cell>
        </row>
        <row r="709">
          <cell r="A709">
            <v>2003</v>
          </cell>
          <cell r="B709">
            <v>5</v>
          </cell>
          <cell r="C709">
            <v>1</v>
          </cell>
          <cell r="D709">
            <v>0</v>
          </cell>
          <cell r="E709">
            <v>1</v>
          </cell>
          <cell r="F709" t="str">
            <v>RUR</v>
          </cell>
          <cell r="G709">
            <v>0</v>
          </cell>
          <cell r="H709">
            <v>3183435</v>
          </cell>
          <cell r="I709">
            <v>29</v>
          </cell>
          <cell r="J709" t="str">
            <v>АК АПИБ "Агроинвестбанк"</v>
          </cell>
          <cell r="K709">
            <v>0</v>
          </cell>
          <cell r="L709">
            <v>3153387.8305967953</v>
          </cell>
          <cell r="M709">
            <v>0.9905614000589914</v>
          </cell>
          <cell r="N709">
            <v>0</v>
          </cell>
        </row>
        <row r="710">
          <cell r="A710">
            <v>2003</v>
          </cell>
          <cell r="B710">
            <v>5</v>
          </cell>
          <cell r="C710">
            <v>3</v>
          </cell>
          <cell r="D710">
            <v>0</v>
          </cell>
          <cell r="E710">
            <v>2</v>
          </cell>
          <cell r="F710" t="str">
            <v>RUR</v>
          </cell>
          <cell r="G710">
            <v>6</v>
          </cell>
          <cell r="H710">
            <v>8698</v>
          </cell>
          <cell r="I710">
            <v>7</v>
          </cell>
          <cell r="J710" t="str">
            <v>АК АПИБ "Агроинвестбанк"</v>
          </cell>
          <cell r="K710">
            <v>52188</v>
          </cell>
          <cell r="L710">
            <v>8615.903057713107</v>
          </cell>
          <cell r="M710">
            <v>0.9905614000589914</v>
          </cell>
          <cell r="N710">
            <v>51695.418346278646</v>
          </cell>
        </row>
        <row r="711">
          <cell r="A711">
            <v>2003</v>
          </cell>
          <cell r="B711">
            <v>5</v>
          </cell>
          <cell r="C711">
            <v>2</v>
          </cell>
          <cell r="D711">
            <v>180</v>
          </cell>
          <cell r="E711">
            <v>2</v>
          </cell>
          <cell r="F711" t="str">
            <v>RUR</v>
          </cell>
          <cell r="G711">
            <v>8</v>
          </cell>
          <cell r="H711">
            <v>8060</v>
          </cell>
          <cell r="I711">
            <v>2</v>
          </cell>
          <cell r="J711" t="str">
            <v>АК АПИБ "Агроинвестбанк"</v>
          </cell>
          <cell r="K711">
            <v>64480</v>
          </cell>
          <cell r="L711">
            <v>7983.924884475471</v>
          </cell>
          <cell r="M711">
            <v>0.9905614000589914</v>
          </cell>
          <cell r="N711">
            <v>63871.39907580377</v>
          </cell>
        </row>
        <row r="712">
          <cell r="A712">
            <v>2003</v>
          </cell>
          <cell r="B712">
            <v>5</v>
          </cell>
          <cell r="C712">
            <v>1</v>
          </cell>
          <cell r="D712">
            <v>0</v>
          </cell>
          <cell r="E712">
            <v>1</v>
          </cell>
          <cell r="F712" t="str">
            <v>USD</v>
          </cell>
          <cell r="G712">
            <v>0</v>
          </cell>
          <cell r="H712">
            <v>58251899</v>
          </cell>
          <cell r="I712">
            <v>244</v>
          </cell>
          <cell r="J712" t="str">
            <v>АК АПИБ "Агроинвестбанк"</v>
          </cell>
          <cell r="K712">
            <v>0</v>
          </cell>
          <cell r="L712">
            <v>58251899</v>
          </cell>
          <cell r="M712">
            <v>1</v>
          </cell>
          <cell r="N712">
            <v>0</v>
          </cell>
        </row>
        <row r="713">
          <cell r="A713">
            <v>2003</v>
          </cell>
          <cell r="B713">
            <v>5</v>
          </cell>
          <cell r="C713">
            <v>1</v>
          </cell>
          <cell r="D713">
            <v>0</v>
          </cell>
          <cell r="E713">
            <v>2</v>
          </cell>
          <cell r="F713" t="str">
            <v>USD</v>
          </cell>
          <cell r="G713">
            <v>0</v>
          </cell>
          <cell r="H713">
            <v>476007</v>
          </cell>
          <cell r="I713">
            <v>97</v>
          </cell>
          <cell r="J713" t="str">
            <v>АК АПИБ "Агроинвестбанк"</v>
          </cell>
          <cell r="K713">
            <v>0</v>
          </cell>
          <cell r="L713">
            <v>476007</v>
          </cell>
          <cell r="M713">
            <v>1</v>
          </cell>
          <cell r="N713">
            <v>0</v>
          </cell>
        </row>
        <row r="714">
          <cell r="A714">
            <v>2003</v>
          </cell>
          <cell r="B714">
            <v>5</v>
          </cell>
          <cell r="C714">
            <v>3</v>
          </cell>
          <cell r="D714">
            <v>0</v>
          </cell>
          <cell r="E714">
            <v>2</v>
          </cell>
          <cell r="F714" t="str">
            <v>USD</v>
          </cell>
          <cell r="G714">
            <v>6</v>
          </cell>
          <cell r="H714">
            <v>1500600</v>
          </cell>
          <cell r="I714">
            <v>895</v>
          </cell>
          <cell r="J714" t="str">
            <v>АК АПИБ "Агроинвестбанк"</v>
          </cell>
          <cell r="K714">
            <v>9003600</v>
          </cell>
          <cell r="L714">
            <v>1500600</v>
          </cell>
          <cell r="M714">
            <v>1</v>
          </cell>
          <cell r="N714">
            <v>9003600</v>
          </cell>
        </row>
        <row r="715">
          <cell r="A715">
            <v>2003</v>
          </cell>
          <cell r="B715">
            <v>5</v>
          </cell>
          <cell r="C715">
            <v>2</v>
          </cell>
          <cell r="D715">
            <v>180</v>
          </cell>
          <cell r="E715">
            <v>1</v>
          </cell>
          <cell r="F715" t="str">
            <v>USD</v>
          </cell>
          <cell r="G715">
            <v>10</v>
          </cell>
          <cell r="H715">
            <v>32240</v>
          </cell>
          <cell r="I715">
            <v>4</v>
          </cell>
          <cell r="J715" t="str">
            <v>АК АПИБ "Агроинвестбанк"</v>
          </cell>
          <cell r="K715">
            <v>322400</v>
          </cell>
          <cell r="L715">
            <v>32240</v>
          </cell>
          <cell r="M715">
            <v>1</v>
          </cell>
          <cell r="N715">
            <v>322400</v>
          </cell>
        </row>
        <row r="716">
          <cell r="A716">
            <v>2003</v>
          </cell>
          <cell r="B716">
            <v>5</v>
          </cell>
          <cell r="C716">
            <v>2</v>
          </cell>
          <cell r="D716">
            <v>30</v>
          </cell>
          <cell r="E716">
            <v>2</v>
          </cell>
          <cell r="F716" t="str">
            <v>USD</v>
          </cell>
          <cell r="G716">
            <v>6</v>
          </cell>
          <cell r="H716">
            <v>176</v>
          </cell>
          <cell r="I716">
            <v>1</v>
          </cell>
          <cell r="J716" t="str">
            <v>АК АПИБ "Агроинвестбанк"</v>
          </cell>
          <cell r="K716">
            <v>1056</v>
          </cell>
          <cell r="L716">
            <v>176</v>
          </cell>
          <cell r="M716">
            <v>1</v>
          </cell>
          <cell r="N716">
            <v>1056</v>
          </cell>
        </row>
        <row r="717">
          <cell r="A717">
            <v>2003</v>
          </cell>
          <cell r="B717">
            <v>5</v>
          </cell>
          <cell r="C717">
            <v>2</v>
          </cell>
          <cell r="D717">
            <v>90</v>
          </cell>
          <cell r="E717">
            <v>2</v>
          </cell>
          <cell r="F717" t="str">
            <v>USD</v>
          </cell>
          <cell r="G717">
            <v>8</v>
          </cell>
          <cell r="H717">
            <v>16807</v>
          </cell>
          <cell r="I717">
            <v>6</v>
          </cell>
          <cell r="J717" t="str">
            <v>АК АПИБ "Агроинвестбанк"</v>
          </cell>
          <cell r="K717">
            <v>134456</v>
          </cell>
          <cell r="L717">
            <v>16807</v>
          </cell>
          <cell r="M717">
            <v>1</v>
          </cell>
          <cell r="N717">
            <v>134456</v>
          </cell>
        </row>
        <row r="718">
          <cell r="A718">
            <v>2003</v>
          </cell>
          <cell r="B718">
            <v>5</v>
          </cell>
          <cell r="C718">
            <v>2</v>
          </cell>
          <cell r="D718">
            <v>180</v>
          </cell>
          <cell r="E718">
            <v>2</v>
          </cell>
          <cell r="F718" t="str">
            <v>USD</v>
          </cell>
          <cell r="G718">
            <v>10</v>
          </cell>
          <cell r="H718">
            <v>23827</v>
          </cell>
          <cell r="I718">
            <v>8</v>
          </cell>
          <cell r="J718" t="str">
            <v>АК АПИБ "Агроинвестбанк"</v>
          </cell>
          <cell r="K718">
            <v>238270</v>
          </cell>
          <cell r="L718">
            <v>23827</v>
          </cell>
          <cell r="M718">
            <v>1</v>
          </cell>
          <cell r="N718">
            <v>238270</v>
          </cell>
        </row>
        <row r="719">
          <cell r="A719">
            <v>2003</v>
          </cell>
          <cell r="B719">
            <v>5</v>
          </cell>
          <cell r="C719">
            <v>2</v>
          </cell>
          <cell r="D719">
            <v>360</v>
          </cell>
          <cell r="E719">
            <v>2</v>
          </cell>
          <cell r="F719" t="str">
            <v>USD</v>
          </cell>
          <cell r="G719">
            <v>8</v>
          </cell>
          <cell r="H719">
            <v>50906</v>
          </cell>
          <cell r="I719">
            <v>12</v>
          </cell>
          <cell r="J719" t="str">
            <v>АК АПИБ "Агроинвестбанк"</v>
          </cell>
          <cell r="K719">
            <v>407248</v>
          </cell>
          <cell r="L719">
            <v>50906</v>
          </cell>
          <cell r="M719">
            <v>1</v>
          </cell>
          <cell r="N719">
            <v>407248</v>
          </cell>
        </row>
        <row r="720">
          <cell r="A720">
            <v>2003</v>
          </cell>
          <cell r="B720">
            <v>5</v>
          </cell>
          <cell r="C720">
            <v>2</v>
          </cell>
          <cell r="D720">
            <v>360</v>
          </cell>
          <cell r="E720">
            <v>2</v>
          </cell>
          <cell r="F720" t="str">
            <v>USD</v>
          </cell>
          <cell r="G720">
            <v>12</v>
          </cell>
          <cell r="H720">
            <v>120000</v>
          </cell>
          <cell r="I720">
            <v>25</v>
          </cell>
          <cell r="J720" t="str">
            <v>АК АПИБ "Агроинвестбанк"</v>
          </cell>
          <cell r="K720">
            <v>1440000</v>
          </cell>
          <cell r="L720">
            <v>120000</v>
          </cell>
          <cell r="M720">
            <v>1</v>
          </cell>
          <cell r="N720">
            <v>1440000</v>
          </cell>
        </row>
        <row r="721">
          <cell r="A721">
            <v>2003</v>
          </cell>
          <cell r="B721">
            <v>5</v>
          </cell>
          <cell r="C721">
            <v>2</v>
          </cell>
          <cell r="D721">
            <v>366</v>
          </cell>
          <cell r="E721">
            <v>2</v>
          </cell>
          <cell r="F721" t="str">
            <v>USD</v>
          </cell>
          <cell r="G721">
            <v>13</v>
          </cell>
          <cell r="H721">
            <v>292949</v>
          </cell>
          <cell r="I721">
            <v>72</v>
          </cell>
          <cell r="J721" t="str">
            <v>АК АПИБ "Агроинвестбанк"</v>
          </cell>
          <cell r="K721">
            <v>3808337</v>
          </cell>
          <cell r="L721">
            <v>292949</v>
          </cell>
          <cell r="M721">
            <v>1</v>
          </cell>
          <cell r="N721">
            <v>3808337</v>
          </cell>
        </row>
        <row r="722">
          <cell r="A722">
            <v>2003</v>
          </cell>
          <cell r="B722">
            <v>5</v>
          </cell>
          <cell r="C722">
            <v>1</v>
          </cell>
          <cell r="D722">
            <v>0</v>
          </cell>
          <cell r="E722">
            <v>1</v>
          </cell>
          <cell r="F722" t="str">
            <v>TJS</v>
          </cell>
          <cell r="G722">
            <v>0</v>
          </cell>
          <cell r="H722">
            <v>3920901</v>
          </cell>
          <cell r="I722">
            <v>58</v>
          </cell>
          <cell r="J722" t="str">
            <v>АКБ  СП "Сохибкорбанк"</v>
          </cell>
          <cell r="K722">
            <v>0</v>
          </cell>
          <cell r="L722">
            <v>3920901</v>
          </cell>
          <cell r="M722">
            <v>1</v>
          </cell>
          <cell r="N722">
            <v>0</v>
          </cell>
        </row>
        <row r="723">
          <cell r="A723">
            <v>2003</v>
          </cell>
          <cell r="B723">
            <v>5</v>
          </cell>
          <cell r="C723">
            <v>2</v>
          </cell>
          <cell r="D723">
            <v>360</v>
          </cell>
          <cell r="E723">
            <v>2</v>
          </cell>
          <cell r="F723" t="str">
            <v>TJS</v>
          </cell>
          <cell r="G723">
            <v>8</v>
          </cell>
          <cell r="H723">
            <v>226288</v>
          </cell>
          <cell r="I723">
            <v>2</v>
          </cell>
          <cell r="J723" t="str">
            <v>АКБ  СП "Сохибкорбанк"</v>
          </cell>
          <cell r="K723">
            <v>1810304</v>
          </cell>
          <cell r="L723">
            <v>226288</v>
          </cell>
          <cell r="M723">
            <v>1</v>
          </cell>
          <cell r="N723">
            <v>1810304</v>
          </cell>
        </row>
        <row r="724">
          <cell r="A724">
            <v>2003</v>
          </cell>
          <cell r="B724">
            <v>5</v>
          </cell>
          <cell r="C724">
            <v>2</v>
          </cell>
          <cell r="D724">
            <v>90</v>
          </cell>
          <cell r="E724">
            <v>2</v>
          </cell>
          <cell r="F724" t="str">
            <v>TJS</v>
          </cell>
          <cell r="G724">
            <v>24</v>
          </cell>
          <cell r="H724">
            <v>1500</v>
          </cell>
          <cell r="I724">
            <v>1</v>
          </cell>
          <cell r="J724" t="str">
            <v>АКБ  СП "Сохибкорбанк"</v>
          </cell>
          <cell r="K724">
            <v>36000</v>
          </cell>
          <cell r="L724">
            <v>1500</v>
          </cell>
          <cell r="M724">
            <v>1</v>
          </cell>
          <cell r="N724">
            <v>36000</v>
          </cell>
        </row>
        <row r="725">
          <cell r="A725">
            <v>2003</v>
          </cell>
          <cell r="B725">
            <v>5</v>
          </cell>
          <cell r="C725">
            <v>2</v>
          </cell>
          <cell r="D725">
            <v>90</v>
          </cell>
          <cell r="E725">
            <v>2</v>
          </cell>
          <cell r="F725" t="str">
            <v>TJS</v>
          </cell>
          <cell r="G725">
            <v>60</v>
          </cell>
          <cell r="H725">
            <v>260</v>
          </cell>
          <cell r="I725">
            <v>1</v>
          </cell>
          <cell r="J725" t="str">
            <v>АКБ  СП "Сохибкорбанк"</v>
          </cell>
          <cell r="K725">
            <v>15600</v>
          </cell>
          <cell r="L725">
            <v>260</v>
          </cell>
          <cell r="M725">
            <v>1</v>
          </cell>
          <cell r="N725">
            <v>15600</v>
          </cell>
        </row>
        <row r="726">
          <cell r="A726">
            <v>2003</v>
          </cell>
          <cell r="B726">
            <v>5</v>
          </cell>
          <cell r="C726">
            <v>1</v>
          </cell>
          <cell r="D726">
            <v>0</v>
          </cell>
          <cell r="E726">
            <v>1</v>
          </cell>
          <cell r="F726" t="str">
            <v>USD</v>
          </cell>
          <cell r="G726">
            <v>0</v>
          </cell>
          <cell r="H726">
            <v>2882375</v>
          </cell>
          <cell r="I726">
            <v>9</v>
          </cell>
          <cell r="J726" t="str">
            <v>АКБ  СП "Сохибкорбанк"</v>
          </cell>
          <cell r="K726">
            <v>0</v>
          </cell>
          <cell r="L726">
            <v>2882375</v>
          </cell>
          <cell r="M726">
            <v>1</v>
          </cell>
          <cell r="N726">
            <v>0</v>
          </cell>
        </row>
        <row r="727">
          <cell r="A727">
            <v>2003</v>
          </cell>
          <cell r="B727">
            <v>5</v>
          </cell>
          <cell r="C727">
            <v>1</v>
          </cell>
          <cell r="D727">
            <v>0</v>
          </cell>
          <cell r="E727">
            <v>1</v>
          </cell>
          <cell r="F727" t="str">
            <v>RUR</v>
          </cell>
          <cell r="G727">
            <v>0</v>
          </cell>
          <cell r="H727">
            <v>210551</v>
          </cell>
          <cell r="I727">
            <v>4</v>
          </cell>
          <cell r="J727" t="str">
            <v>АКБ  СП "Сохибкорбанк"</v>
          </cell>
          <cell r="K727">
            <v>0</v>
          </cell>
          <cell r="L727">
            <v>208563.6933438207</v>
          </cell>
          <cell r="M727">
            <v>0.9905614000589914</v>
          </cell>
          <cell r="N727">
            <v>0</v>
          </cell>
        </row>
        <row r="728">
          <cell r="A728">
            <v>2003</v>
          </cell>
          <cell r="B728">
            <v>5</v>
          </cell>
          <cell r="C728">
            <v>1</v>
          </cell>
          <cell r="D728">
            <v>0</v>
          </cell>
          <cell r="E728">
            <v>1</v>
          </cell>
          <cell r="F728" t="str">
            <v>EURO</v>
          </cell>
          <cell r="G728">
            <v>0</v>
          </cell>
          <cell r="H728">
            <v>4826</v>
          </cell>
          <cell r="I728">
            <v>1</v>
          </cell>
          <cell r="J728" t="str">
            <v>АКБ  СП "Сохибкорбанк"</v>
          </cell>
          <cell r="K728">
            <v>0</v>
          </cell>
          <cell r="L728">
            <v>4869.070117882562</v>
          </cell>
          <cell r="M728">
            <v>1.008924599644128</v>
          </cell>
          <cell r="N728">
            <v>0</v>
          </cell>
        </row>
        <row r="729">
          <cell r="A729">
            <v>2003</v>
          </cell>
          <cell r="B729">
            <v>5</v>
          </cell>
          <cell r="C729">
            <v>2</v>
          </cell>
          <cell r="D729">
            <v>90</v>
          </cell>
          <cell r="E729">
            <v>2</v>
          </cell>
          <cell r="F729" t="str">
            <v>USD</v>
          </cell>
          <cell r="G729">
            <v>18</v>
          </cell>
          <cell r="H729">
            <v>12360</v>
          </cell>
          <cell r="I729">
            <v>1</v>
          </cell>
          <cell r="J729" t="str">
            <v>АКБ  СП "Сохибкорбанк"</v>
          </cell>
          <cell r="K729">
            <v>222480</v>
          </cell>
          <cell r="L729">
            <v>12360</v>
          </cell>
          <cell r="M729">
            <v>1</v>
          </cell>
          <cell r="N729">
            <v>222480</v>
          </cell>
        </row>
        <row r="730">
          <cell r="A730">
            <v>2003</v>
          </cell>
          <cell r="B730">
            <v>5</v>
          </cell>
          <cell r="C730">
            <v>2</v>
          </cell>
          <cell r="D730">
            <v>240</v>
          </cell>
          <cell r="E730">
            <v>2</v>
          </cell>
          <cell r="F730" t="str">
            <v>USD</v>
          </cell>
          <cell r="G730">
            <v>22</v>
          </cell>
          <cell r="H730">
            <v>26264</v>
          </cell>
          <cell r="I730">
            <v>3</v>
          </cell>
          <cell r="J730" t="str">
            <v>АКБ  СП "Сохибкорбанк"</v>
          </cell>
          <cell r="K730">
            <v>577808</v>
          </cell>
          <cell r="L730">
            <v>26264</v>
          </cell>
          <cell r="M730">
            <v>1</v>
          </cell>
          <cell r="N730">
            <v>577808</v>
          </cell>
        </row>
        <row r="731">
          <cell r="A731">
            <v>2003</v>
          </cell>
          <cell r="B731">
            <v>5</v>
          </cell>
          <cell r="C731">
            <v>1</v>
          </cell>
          <cell r="D731">
            <v>0</v>
          </cell>
          <cell r="E731">
            <v>1</v>
          </cell>
          <cell r="F731" t="str">
            <v>TJS</v>
          </cell>
          <cell r="G731">
            <v>0</v>
          </cell>
          <cell r="H731">
            <v>188734</v>
          </cell>
          <cell r="I731">
            <v>14</v>
          </cell>
          <cell r="J731" t="str">
            <v>АКБ "Ганчина"</v>
          </cell>
          <cell r="K731">
            <v>0</v>
          </cell>
          <cell r="L731">
            <v>188734</v>
          </cell>
          <cell r="M731">
            <v>1</v>
          </cell>
          <cell r="N731">
            <v>0</v>
          </cell>
        </row>
        <row r="732">
          <cell r="A732">
            <v>2003</v>
          </cell>
          <cell r="B732">
            <v>5</v>
          </cell>
          <cell r="C732">
            <v>2</v>
          </cell>
          <cell r="D732">
            <v>360</v>
          </cell>
          <cell r="E732">
            <v>2</v>
          </cell>
          <cell r="F732" t="str">
            <v>TJS</v>
          </cell>
          <cell r="G732">
            <v>6</v>
          </cell>
          <cell r="H732">
            <v>8000</v>
          </cell>
          <cell r="I732">
            <v>3</v>
          </cell>
          <cell r="J732" t="str">
            <v>АКБ "Эсхата"</v>
          </cell>
          <cell r="K732">
            <v>48000</v>
          </cell>
          <cell r="L732">
            <v>8000</v>
          </cell>
          <cell r="M732">
            <v>1</v>
          </cell>
          <cell r="N732">
            <v>48000</v>
          </cell>
        </row>
        <row r="733">
          <cell r="A733">
            <v>2003</v>
          </cell>
          <cell r="B733">
            <v>5</v>
          </cell>
          <cell r="C733">
            <v>2</v>
          </cell>
          <cell r="D733">
            <v>420</v>
          </cell>
          <cell r="E733">
            <v>2</v>
          </cell>
          <cell r="F733" t="str">
            <v>TJS</v>
          </cell>
          <cell r="G733">
            <v>24</v>
          </cell>
          <cell r="H733">
            <v>6000</v>
          </cell>
          <cell r="I733">
            <v>1</v>
          </cell>
          <cell r="J733" t="str">
            <v>АКБ "Эсхата"</v>
          </cell>
          <cell r="K733">
            <v>144000</v>
          </cell>
          <cell r="L733">
            <v>6000</v>
          </cell>
          <cell r="M733">
            <v>1</v>
          </cell>
          <cell r="N733">
            <v>144000</v>
          </cell>
        </row>
        <row r="734">
          <cell r="A734">
            <v>2003</v>
          </cell>
          <cell r="B734">
            <v>5</v>
          </cell>
          <cell r="C734">
            <v>2</v>
          </cell>
          <cell r="D734">
            <v>750</v>
          </cell>
          <cell r="E734">
            <v>2</v>
          </cell>
          <cell r="F734" t="str">
            <v>TJS</v>
          </cell>
          <cell r="G734">
            <v>24</v>
          </cell>
          <cell r="H734">
            <v>2500</v>
          </cell>
          <cell r="I734">
            <v>1</v>
          </cell>
          <cell r="J734" t="str">
            <v>АКБ "Эсхата"</v>
          </cell>
          <cell r="K734">
            <v>60000</v>
          </cell>
          <cell r="L734">
            <v>2500</v>
          </cell>
          <cell r="M734">
            <v>1</v>
          </cell>
          <cell r="N734">
            <v>60000</v>
          </cell>
        </row>
        <row r="735">
          <cell r="A735">
            <v>2003</v>
          </cell>
          <cell r="B735">
            <v>5</v>
          </cell>
          <cell r="C735">
            <v>2</v>
          </cell>
          <cell r="D735">
            <v>180</v>
          </cell>
          <cell r="E735">
            <v>1</v>
          </cell>
          <cell r="F735" t="str">
            <v>TJS</v>
          </cell>
          <cell r="G735">
            <v>24</v>
          </cell>
          <cell r="H735">
            <v>96230</v>
          </cell>
          <cell r="I735">
            <v>1</v>
          </cell>
          <cell r="J735" t="str">
            <v>АКБ "Эсхата"</v>
          </cell>
          <cell r="K735">
            <v>2309520</v>
          </cell>
          <cell r="L735">
            <v>96230</v>
          </cell>
          <cell r="M735">
            <v>1</v>
          </cell>
          <cell r="N735">
            <v>2309520</v>
          </cell>
        </row>
        <row r="736">
          <cell r="A736">
            <v>2003</v>
          </cell>
          <cell r="B736">
            <v>5</v>
          </cell>
          <cell r="C736">
            <v>2</v>
          </cell>
          <cell r="D736">
            <v>60</v>
          </cell>
          <cell r="E736">
            <v>1</v>
          </cell>
          <cell r="F736" t="str">
            <v>TJS</v>
          </cell>
          <cell r="G736">
            <v>20</v>
          </cell>
          <cell r="H736">
            <v>150000</v>
          </cell>
          <cell r="I736">
            <v>1</v>
          </cell>
          <cell r="J736" t="str">
            <v>АКБ "Эсхата"</v>
          </cell>
          <cell r="K736">
            <v>3000000</v>
          </cell>
          <cell r="L736">
            <v>150000</v>
          </cell>
          <cell r="M736">
            <v>1</v>
          </cell>
          <cell r="N736">
            <v>3000000</v>
          </cell>
        </row>
        <row r="737">
          <cell r="A737">
            <v>2003</v>
          </cell>
          <cell r="B737">
            <v>5</v>
          </cell>
          <cell r="C737">
            <v>1</v>
          </cell>
          <cell r="D737">
            <v>0</v>
          </cell>
          <cell r="E737">
            <v>1</v>
          </cell>
          <cell r="F737" t="str">
            <v>TJS</v>
          </cell>
          <cell r="G737">
            <v>0</v>
          </cell>
          <cell r="H737">
            <v>15053597</v>
          </cell>
          <cell r="I737">
            <v>246</v>
          </cell>
          <cell r="J737" t="str">
            <v>АКБ "Эсхата"</v>
          </cell>
          <cell r="K737">
            <v>0</v>
          </cell>
          <cell r="L737">
            <v>15053597</v>
          </cell>
          <cell r="M737">
            <v>1</v>
          </cell>
          <cell r="N737">
            <v>0</v>
          </cell>
        </row>
        <row r="738">
          <cell r="A738">
            <v>2003</v>
          </cell>
          <cell r="B738">
            <v>5</v>
          </cell>
          <cell r="C738">
            <v>1</v>
          </cell>
          <cell r="D738">
            <v>0</v>
          </cell>
          <cell r="E738">
            <v>2</v>
          </cell>
          <cell r="F738" t="str">
            <v>TJS</v>
          </cell>
          <cell r="G738">
            <v>0</v>
          </cell>
          <cell r="H738">
            <v>1406084</v>
          </cell>
          <cell r="I738">
            <v>33</v>
          </cell>
          <cell r="J738" t="str">
            <v>АКБ "Эсхата"</v>
          </cell>
          <cell r="K738">
            <v>0</v>
          </cell>
          <cell r="L738">
            <v>1406084</v>
          </cell>
          <cell r="M738">
            <v>1</v>
          </cell>
          <cell r="N738">
            <v>0</v>
          </cell>
        </row>
        <row r="739">
          <cell r="A739">
            <v>2003</v>
          </cell>
          <cell r="B739">
            <v>5</v>
          </cell>
          <cell r="C739">
            <v>2</v>
          </cell>
          <cell r="D739">
            <v>90</v>
          </cell>
          <cell r="E739">
            <v>2</v>
          </cell>
          <cell r="F739" t="str">
            <v>USD</v>
          </cell>
          <cell r="G739">
            <v>10</v>
          </cell>
          <cell r="H739">
            <v>40170</v>
          </cell>
          <cell r="I739">
            <v>2</v>
          </cell>
          <cell r="J739" t="str">
            <v>АКБ "Эсхата"</v>
          </cell>
          <cell r="K739">
            <v>401700</v>
          </cell>
          <cell r="L739">
            <v>40170</v>
          </cell>
          <cell r="M739">
            <v>1</v>
          </cell>
          <cell r="N739">
            <v>401700</v>
          </cell>
        </row>
        <row r="740">
          <cell r="A740">
            <v>2003</v>
          </cell>
          <cell r="B740">
            <v>5</v>
          </cell>
          <cell r="C740">
            <v>2</v>
          </cell>
          <cell r="D740">
            <v>540</v>
          </cell>
          <cell r="E740">
            <v>2</v>
          </cell>
          <cell r="F740" t="str">
            <v>RUR</v>
          </cell>
          <cell r="G740">
            <v>12</v>
          </cell>
          <cell r="H740">
            <v>2004</v>
          </cell>
          <cell r="I740">
            <v>1</v>
          </cell>
          <cell r="J740" t="str">
            <v>АКБ "Эсхата"</v>
          </cell>
          <cell r="K740">
            <v>24048</v>
          </cell>
          <cell r="L740">
            <v>1985.0850457182187</v>
          </cell>
          <cell r="M740">
            <v>0.9905614000589914</v>
          </cell>
          <cell r="N740">
            <v>23821.020548618624</v>
          </cell>
        </row>
        <row r="741">
          <cell r="A741">
            <v>2003</v>
          </cell>
          <cell r="B741">
            <v>5</v>
          </cell>
          <cell r="C741">
            <v>2</v>
          </cell>
          <cell r="D741">
            <v>720</v>
          </cell>
          <cell r="E741">
            <v>2</v>
          </cell>
          <cell r="F741" t="str">
            <v>USD</v>
          </cell>
          <cell r="G741">
            <v>12</v>
          </cell>
          <cell r="H741">
            <v>5562</v>
          </cell>
          <cell r="I741">
            <v>1</v>
          </cell>
          <cell r="J741" t="str">
            <v>АКБ "Эсхата"</v>
          </cell>
          <cell r="K741">
            <v>66744</v>
          </cell>
          <cell r="L741">
            <v>5562</v>
          </cell>
          <cell r="M741">
            <v>1</v>
          </cell>
          <cell r="N741">
            <v>66744</v>
          </cell>
        </row>
        <row r="742">
          <cell r="A742">
            <v>2003</v>
          </cell>
          <cell r="B742">
            <v>5</v>
          </cell>
          <cell r="C742">
            <v>2</v>
          </cell>
          <cell r="D742">
            <v>390</v>
          </cell>
          <cell r="E742">
            <v>2</v>
          </cell>
          <cell r="F742" t="str">
            <v>USD</v>
          </cell>
          <cell r="G742">
            <v>12</v>
          </cell>
          <cell r="H742">
            <v>69123</v>
          </cell>
          <cell r="I742">
            <v>3</v>
          </cell>
          <cell r="J742" t="str">
            <v>АКБ "Эсхата"</v>
          </cell>
          <cell r="K742">
            <v>829476</v>
          </cell>
          <cell r="L742">
            <v>69123</v>
          </cell>
          <cell r="M742">
            <v>1</v>
          </cell>
          <cell r="N742">
            <v>829476</v>
          </cell>
        </row>
        <row r="743">
          <cell r="A743">
            <v>2003</v>
          </cell>
          <cell r="B743">
            <v>5</v>
          </cell>
          <cell r="C743">
            <v>2</v>
          </cell>
          <cell r="D743">
            <v>390</v>
          </cell>
          <cell r="E743">
            <v>2</v>
          </cell>
          <cell r="F743" t="str">
            <v>USD</v>
          </cell>
          <cell r="G743">
            <v>15</v>
          </cell>
          <cell r="H743">
            <v>46820</v>
          </cell>
          <cell r="I743">
            <v>2</v>
          </cell>
          <cell r="J743" t="str">
            <v>АКБ "Эсхата"</v>
          </cell>
          <cell r="K743">
            <v>702300</v>
          </cell>
          <cell r="L743">
            <v>46820</v>
          </cell>
          <cell r="M743">
            <v>1</v>
          </cell>
          <cell r="N743">
            <v>702300</v>
          </cell>
        </row>
        <row r="744">
          <cell r="A744">
            <v>2003</v>
          </cell>
          <cell r="B744">
            <v>5</v>
          </cell>
          <cell r="C744">
            <v>2</v>
          </cell>
          <cell r="D744">
            <v>480</v>
          </cell>
          <cell r="E744">
            <v>2</v>
          </cell>
          <cell r="F744" t="str">
            <v>USD</v>
          </cell>
          <cell r="G744">
            <v>15</v>
          </cell>
          <cell r="H744">
            <v>9270</v>
          </cell>
          <cell r="I744">
            <v>1</v>
          </cell>
          <cell r="J744" t="str">
            <v>АКБ "Эсхата"</v>
          </cell>
          <cell r="K744">
            <v>139050</v>
          </cell>
          <cell r="L744">
            <v>9270</v>
          </cell>
          <cell r="M744">
            <v>1</v>
          </cell>
          <cell r="N744">
            <v>139050</v>
          </cell>
        </row>
        <row r="745">
          <cell r="A745">
            <v>2003</v>
          </cell>
          <cell r="B745">
            <v>5</v>
          </cell>
          <cell r="C745">
            <v>1</v>
          </cell>
          <cell r="D745">
            <v>0</v>
          </cell>
          <cell r="E745">
            <v>1</v>
          </cell>
          <cell r="F745" t="str">
            <v>USD</v>
          </cell>
          <cell r="G745">
            <v>0</v>
          </cell>
          <cell r="H745">
            <v>6371909</v>
          </cell>
          <cell r="I745">
            <v>45</v>
          </cell>
          <cell r="J745" t="str">
            <v>АКБ "Эсхата"</v>
          </cell>
          <cell r="K745">
            <v>0</v>
          </cell>
          <cell r="L745">
            <v>6371909</v>
          </cell>
          <cell r="M745">
            <v>1</v>
          </cell>
          <cell r="N745">
            <v>0</v>
          </cell>
        </row>
        <row r="746">
          <cell r="A746">
            <v>2003</v>
          </cell>
          <cell r="B746">
            <v>5</v>
          </cell>
          <cell r="C746">
            <v>1</v>
          </cell>
          <cell r="D746">
            <v>0</v>
          </cell>
          <cell r="E746">
            <v>1</v>
          </cell>
          <cell r="F746" t="str">
            <v>RUR</v>
          </cell>
          <cell r="G746">
            <v>0</v>
          </cell>
          <cell r="H746">
            <v>620777</v>
          </cell>
          <cell r="I746">
            <v>17</v>
          </cell>
          <cell r="J746" t="str">
            <v>АКБ "Эсхата"</v>
          </cell>
          <cell r="K746">
            <v>0</v>
          </cell>
          <cell r="L746">
            <v>614917.7342444205</v>
          </cell>
          <cell r="M746">
            <v>0.9905614000589914</v>
          </cell>
          <cell r="N746">
            <v>0</v>
          </cell>
        </row>
        <row r="747">
          <cell r="A747">
            <v>2003</v>
          </cell>
          <cell r="B747">
            <v>5</v>
          </cell>
          <cell r="C747">
            <v>1</v>
          </cell>
          <cell r="D747">
            <v>0</v>
          </cell>
          <cell r="E747">
            <v>1</v>
          </cell>
          <cell r="F747" t="str">
            <v>EURO</v>
          </cell>
          <cell r="G747">
            <v>0</v>
          </cell>
          <cell r="H747">
            <v>781</v>
          </cell>
          <cell r="I747">
            <v>1</v>
          </cell>
          <cell r="J747" t="str">
            <v>АКБ "Эсхата"</v>
          </cell>
          <cell r="K747">
            <v>0</v>
          </cell>
          <cell r="L747">
            <v>787.970112322064</v>
          </cell>
          <cell r="M747">
            <v>1.008924599644128</v>
          </cell>
          <cell r="N747">
            <v>0</v>
          </cell>
        </row>
        <row r="748">
          <cell r="A748">
            <v>2003</v>
          </cell>
          <cell r="B748">
            <v>5</v>
          </cell>
          <cell r="C748">
            <v>1</v>
          </cell>
          <cell r="D748">
            <v>0</v>
          </cell>
          <cell r="E748">
            <v>2</v>
          </cell>
          <cell r="F748" t="str">
            <v>USD</v>
          </cell>
          <cell r="G748">
            <v>0</v>
          </cell>
          <cell r="H748">
            <v>841336</v>
          </cell>
          <cell r="I748">
            <v>7</v>
          </cell>
          <cell r="J748" t="str">
            <v>АКБ "Эсхата"</v>
          </cell>
          <cell r="K748">
            <v>0</v>
          </cell>
          <cell r="L748">
            <v>841336</v>
          </cell>
          <cell r="M748">
            <v>1</v>
          </cell>
          <cell r="N748">
            <v>0</v>
          </cell>
        </row>
        <row r="749">
          <cell r="A749">
            <v>2003</v>
          </cell>
          <cell r="B749">
            <v>5</v>
          </cell>
          <cell r="C749">
            <v>1</v>
          </cell>
          <cell r="D749">
            <v>0</v>
          </cell>
          <cell r="E749">
            <v>2</v>
          </cell>
          <cell r="F749" t="str">
            <v>RUR</v>
          </cell>
          <cell r="G749">
            <v>0</v>
          </cell>
          <cell r="H749">
            <v>75606</v>
          </cell>
          <cell r="I749">
            <v>2</v>
          </cell>
          <cell r="J749" t="str">
            <v>АКБ "Эсхата"</v>
          </cell>
          <cell r="K749">
            <v>0</v>
          </cell>
          <cell r="L749">
            <v>74892.3852128601</v>
          </cell>
          <cell r="M749">
            <v>0.9905614000589914</v>
          </cell>
          <cell r="N749">
            <v>0</v>
          </cell>
        </row>
        <row r="750">
          <cell r="A750">
            <v>2003</v>
          </cell>
          <cell r="B750">
            <v>5</v>
          </cell>
          <cell r="C750">
            <v>1</v>
          </cell>
          <cell r="D750">
            <v>0</v>
          </cell>
          <cell r="E750">
            <v>1</v>
          </cell>
          <cell r="F750" t="str">
            <v>TJS</v>
          </cell>
          <cell r="G750">
            <v>0.5</v>
          </cell>
          <cell r="H750">
            <v>3789291</v>
          </cell>
          <cell r="I750">
            <v>90</v>
          </cell>
          <cell r="J750" t="str">
            <v>АОЗТ "Кафолат"</v>
          </cell>
          <cell r="K750">
            <v>1894645.5</v>
          </cell>
          <cell r="L750">
            <v>3789291</v>
          </cell>
          <cell r="M750">
            <v>1</v>
          </cell>
          <cell r="N750">
            <v>1894645.5</v>
          </cell>
        </row>
        <row r="751">
          <cell r="A751">
            <v>2003</v>
          </cell>
          <cell r="B751">
            <v>5</v>
          </cell>
          <cell r="C751">
            <v>2</v>
          </cell>
          <cell r="D751">
            <v>180</v>
          </cell>
          <cell r="E751">
            <v>2</v>
          </cell>
          <cell r="F751" t="str">
            <v>TJS</v>
          </cell>
          <cell r="G751">
            <v>12</v>
          </cell>
          <cell r="H751">
            <v>10000</v>
          </cell>
          <cell r="I751">
            <v>1</v>
          </cell>
          <cell r="J751" t="str">
            <v>АОЗТ "Кафолат"</v>
          </cell>
          <cell r="K751">
            <v>120000</v>
          </cell>
          <cell r="L751">
            <v>10000</v>
          </cell>
          <cell r="M751">
            <v>1</v>
          </cell>
          <cell r="N751">
            <v>120000</v>
          </cell>
        </row>
        <row r="752">
          <cell r="A752">
            <v>2003</v>
          </cell>
          <cell r="B752">
            <v>5</v>
          </cell>
          <cell r="C752">
            <v>2</v>
          </cell>
          <cell r="D752">
            <v>212</v>
          </cell>
          <cell r="E752">
            <v>1</v>
          </cell>
          <cell r="F752" t="str">
            <v>TJS</v>
          </cell>
          <cell r="G752">
            <v>12</v>
          </cell>
          <cell r="H752">
            <v>12190</v>
          </cell>
          <cell r="I752">
            <v>1</v>
          </cell>
          <cell r="J752" t="str">
            <v>АОЗТ "Кафолат"</v>
          </cell>
          <cell r="K752">
            <v>146280</v>
          </cell>
          <cell r="L752">
            <v>12190</v>
          </cell>
          <cell r="M752">
            <v>1</v>
          </cell>
          <cell r="N752">
            <v>146280</v>
          </cell>
        </row>
        <row r="753">
          <cell r="A753">
            <v>2003</v>
          </cell>
          <cell r="B753">
            <v>5</v>
          </cell>
          <cell r="C753">
            <v>2</v>
          </cell>
          <cell r="D753">
            <v>210</v>
          </cell>
          <cell r="E753">
            <v>1</v>
          </cell>
          <cell r="F753" t="str">
            <v>TJS</v>
          </cell>
          <cell r="G753">
            <v>12</v>
          </cell>
          <cell r="H753">
            <v>8000</v>
          </cell>
          <cell r="I753">
            <v>1</v>
          </cell>
          <cell r="J753" t="str">
            <v>АОЗТ "Кафолат"</v>
          </cell>
          <cell r="K753">
            <v>96000</v>
          </cell>
          <cell r="L753">
            <v>8000</v>
          </cell>
          <cell r="M753">
            <v>1</v>
          </cell>
          <cell r="N753">
            <v>96000</v>
          </cell>
        </row>
        <row r="754">
          <cell r="A754">
            <v>2003</v>
          </cell>
          <cell r="B754">
            <v>5</v>
          </cell>
          <cell r="C754">
            <v>2</v>
          </cell>
          <cell r="D754">
            <v>90</v>
          </cell>
          <cell r="E754">
            <v>1</v>
          </cell>
          <cell r="F754" t="str">
            <v>TJS</v>
          </cell>
          <cell r="G754">
            <v>24</v>
          </cell>
          <cell r="H754">
            <v>5380</v>
          </cell>
          <cell r="I754">
            <v>2</v>
          </cell>
          <cell r="J754" t="str">
            <v>АОЗТ "Кафолат"</v>
          </cell>
          <cell r="K754">
            <v>129120</v>
          </cell>
          <cell r="L754">
            <v>5380</v>
          </cell>
          <cell r="M754">
            <v>1</v>
          </cell>
          <cell r="N754">
            <v>129120</v>
          </cell>
        </row>
        <row r="755">
          <cell r="A755">
            <v>2003</v>
          </cell>
          <cell r="B755">
            <v>5</v>
          </cell>
          <cell r="C755">
            <v>2</v>
          </cell>
          <cell r="D755">
            <v>360</v>
          </cell>
          <cell r="E755">
            <v>2</v>
          </cell>
          <cell r="F755" t="str">
            <v>TJS</v>
          </cell>
          <cell r="G755">
            <v>36</v>
          </cell>
          <cell r="H755">
            <v>1000</v>
          </cell>
          <cell r="I755">
            <v>1</v>
          </cell>
          <cell r="J755" t="str">
            <v>АОЗТ "Кафолат"</v>
          </cell>
          <cell r="K755">
            <v>36000</v>
          </cell>
          <cell r="L755">
            <v>1000</v>
          </cell>
          <cell r="M755">
            <v>1</v>
          </cell>
          <cell r="N755">
            <v>36000</v>
          </cell>
        </row>
        <row r="756">
          <cell r="A756">
            <v>2003</v>
          </cell>
          <cell r="B756">
            <v>5</v>
          </cell>
          <cell r="C756">
            <v>3</v>
          </cell>
          <cell r="D756">
            <v>0</v>
          </cell>
          <cell r="E756">
            <v>1</v>
          </cell>
          <cell r="F756" t="str">
            <v>TJS</v>
          </cell>
          <cell r="G756">
            <v>0.5</v>
          </cell>
          <cell r="H756">
            <v>2200</v>
          </cell>
          <cell r="I756">
            <v>4</v>
          </cell>
          <cell r="J756" t="str">
            <v>АОЗТ "Кафолат"</v>
          </cell>
          <cell r="K756">
            <v>1100</v>
          </cell>
          <cell r="L756">
            <v>2200</v>
          </cell>
          <cell r="M756">
            <v>1</v>
          </cell>
          <cell r="N756">
            <v>1100</v>
          </cell>
        </row>
        <row r="757">
          <cell r="A757">
            <v>2003</v>
          </cell>
          <cell r="B757">
            <v>5</v>
          </cell>
          <cell r="C757">
            <v>3</v>
          </cell>
          <cell r="D757">
            <v>0</v>
          </cell>
          <cell r="E757">
            <v>2</v>
          </cell>
          <cell r="F757" t="str">
            <v>TJS</v>
          </cell>
          <cell r="G757">
            <v>0.5</v>
          </cell>
          <cell r="H757">
            <v>1576</v>
          </cell>
          <cell r="I757">
            <v>3</v>
          </cell>
          <cell r="J757" t="str">
            <v>АОЗТ "Кафолат"</v>
          </cell>
          <cell r="K757">
            <v>788</v>
          </cell>
          <cell r="L757">
            <v>1576</v>
          </cell>
          <cell r="M757">
            <v>1</v>
          </cell>
          <cell r="N757">
            <v>788</v>
          </cell>
        </row>
        <row r="758">
          <cell r="A758">
            <v>2003</v>
          </cell>
          <cell r="B758">
            <v>5</v>
          </cell>
          <cell r="C758">
            <v>2</v>
          </cell>
          <cell r="D758">
            <v>720</v>
          </cell>
          <cell r="E758">
            <v>2</v>
          </cell>
          <cell r="F758" t="str">
            <v>USD</v>
          </cell>
          <cell r="G758">
            <v>24</v>
          </cell>
          <cell r="H758">
            <v>4326</v>
          </cell>
          <cell r="I758">
            <v>1</v>
          </cell>
          <cell r="J758" t="str">
            <v>АОЗТ "Кафолат"</v>
          </cell>
          <cell r="K758">
            <v>103824</v>
          </cell>
          <cell r="L758">
            <v>4326</v>
          </cell>
          <cell r="M758">
            <v>1</v>
          </cell>
          <cell r="N758">
            <v>103824</v>
          </cell>
        </row>
        <row r="759">
          <cell r="A759">
            <v>2003</v>
          </cell>
          <cell r="B759">
            <v>5</v>
          </cell>
          <cell r="C759">
            <v>2</v>
          </cell>
          <cell r="D759">
            <v>360</v>
          </cell>
          <cell r="E759">
            <v>2</v>
          </cell>
          <cell r="F759" t="str">
            <v>USD</v>
          </cell>
          <cell r="G759">
            <v>24</v>
          </cell>
          <cell r="H759">
            <v>1257.63</v>
          </cell>
          <cell r="I759">
            <v>1</v>
          </cell>
          <cell r="J759" t="str">
            <v>АОЗТ "Кафолат"</v>
          </cell>
          <cell r="K759">
            <v>30183.120000000003</v>
          </cell>
          <cell r="L759">
            <v>1257.63</v>
          </cell>
          <cell r="M759">
            <v>1</v>
          </cell>
          <cell r="N759">
            <v>30183.120000000003</v>
          </cell>
        </row>
        <row r="760">
          <cell r="A760">
            <v>2003</v>
          </cell>
          <cell r="B760">
            <v>5</v>
          </cell>
          <cell r="C760">
            <v>2</v>
          </cell>
          <cell r="D760">
            <v>1440</v>
          </cell>
          <cell r="E760">
            <v>2</v>
          </cell>
          <cell r="F760" t="str">
            <v>USD</v>
          </cell>
          <cell r="G760">
            <v>22</v>
          </cell>
          <cell r="H760">
            <v>618</v>
          </cell>
          <cell r="I760">
            <v>2</v>
          </cell>
          <cell r="J760" t="str">
            <v>АОЗТ "Кафолат"</v>
          </cell>
          <cell r="K760">
            <v>13596</v>
          </cell>
          <cell r="L760">
            <v>618</v>
          </cell>
          <cell r="M760">
            <v>1</v>
          </cell>
          <cell r="N760">
            <v>13596</v>
          </cell>
        </row>
        <row r="761">
          <cell r="A761">
            <v>2003</v>
          </cell>
          <cell r="B761">
            <v>5</v>
          </cell>
          <cell r="C761">
            <v>2</v>
          </cell>
          <cell r="D761">
            <v>360</v>
          </cell>
          <cell r="E761">
            <v>2</v>
          </cell>
          <cell r="F761" t="str">
            <v>USD</v>
          </cell>
          <cell r="G761">
            <v>18</v>
          </cell>
          <cell r="H761">
            <v>1545</v>
          </cell>
          <cell r="I761">
            <v>1</v>
          </cell>
          <cell r="J761" t="str">
            <v>АОЗТ "Кафолат"</v>
          </cell>
          <cell r="K761">
            <v>27810</v>
          </cell>
          <cell r="L761">
            <v>1545</v>
          </cell>
          <cell r="M761">
            <v>1</v>
          </cell>
          <cell r="N761">
            <v>27810</v>
          </cell>
        </row>
        <row r="762">
          <cell r="A762">
            <v>2003</v>
          </cell>
          <cell r="B762">
            <v>5</v>
          </cell>
          <cell r="C762">
            <v>2</v>
          </cell>
          <cell r="D762">
            <v>360</v>
          </cell>
          <cell r="E762">
            <v>2</v>
          </cell>
          <cell r="F762" t="str">
            <v>USD</v>
          </cell>
          <cell r="G762">
            <v>24</v>
          </cell>
          <cell r="H762">
            <v>2472</v>
          </cell>
          <cell r="I762">
            <v>1</v>
          </cell>
          <cell r="J762" t="str">
            <v>АОЗТ "Кафолат"</v>
          </cell>
          <cell r="K762">
            <v>59328</v>
          </cell>
          <cell r="L762">
            <v>2472</v>
          </cell>
          <cell r="M762">
            <v>1</v>
          </cell>
          <cell r="N762">
            <v>59328</v>
          </cell>
        </row>
        <row r="763">
          <cell r="A763">
            <v>2003</v>
          </cell>
          <cell r="B763">
            <v>5</v>
          </cell>
          <cell r="C763">
            <v>2</v>
          </cell>
          <cell r="D763">
            <v>180</v>
          </cell>
          <cell r="E763">
            <v>2</v>
          </cell>
          <cell r="F763" t="str">
            <v>USD</v>
          </cell>
          <cell r="G763">
            <v>20</v>
          </cell>
          <cell r="H763">
            <v>9879</v>
          </cell>
          <cell r="I763">
            <v>2</v>
          </cell>
          <cell r="J763" t="str">
            <v>АОЗТ "Кафолат"</v>
          </cell>
          <cell r="K763">
            <v>197580</v>
          </cell>
          <cell r="L763">
            <v>9879</v>
          </cell>
          <cell r="M763">
            <v>1</v>
          </cell>
          <cell r="N763">
            <v>197580</v>
          </cell>
        </row>
        <row r="764">
          <cell r="A764">
            <v>2003</v>
          </cell>
          <cell r="B764">
            <v>5</v>
          </cell>
          <cell r="C764">
            <v>3</v>
          </cell>
          <cell r="D764">
            <v>0</v>
          </cell>
          <cell r="E764">
            <v>2</v>
          </cell>
          <cell r="F764" t="str">
            <v>USD</v>
          </cell>
          <cell r="G764">
            <v>0</v>
          </cell>
          <cell r="H764">
            <v>31</v>
          </cell>
          <cell r="I764">
            <v>1</v>
          </cell>
          <cell r="J764" t="str">
            <v>АОЗТ "Кафолат"</v>
          </cell>
          <cell r="K764">
            <v>0</v>
          </cell>
          <cell r="L764">
            <v>31</v>
          </cell>
          <cell r="M764">
            <v>1</v>
          </cell>
          <cell r="N764">
            <v>0</v>
          </cell>
        </row>
        <row r="765">
          <cell r="A765">
            <v>2003</v>
          </cell>
          <cell r="B765">
            <v>5</v>
          </cell>
          <cell r="C765">
            <v>1</v>
          </cell>
          <cell r="D765">
            <v>0</v>
          </cell>
          <cell r="E765">
            <v>1</v>
          </cell>
          <cell r="F765" t="str">
            <v>USD</v>
          </cell>
          <cell r="G765">
            <v>0</v>
          </cell>
          <cell r="H765">
            <v>1155321</v>
          </cell>
          <cell r="I765">
            <v>50</v>
          </cell>
          <cell r="J765" t="str">
            <v>АОЗТ "Кафолат"</v>
          </cell>
          <cell r="K765">
            <v>0</v>
          </cell>
          <cell r="L765">
            <v>1155321</v>
          </cell>
          <cell r="M765">
            <v>1</v>
          </cell>
          <cell r="N765">
            <v>0</v>
          </cell>
        </row>
        <row r="766">
          <cell r="A766">
            <v>2003</v>
          </cell>
          <cell r="B766">
            <v>5</v>
          </cell>
          <cell r="C766">
            <v>1</v>
          </cell>
          <cell r="D766">
            <v>0</v>
          </cell>
          <cell r="E766">
            <v>1</v>
          </cell>
          <cell r="F766" t="str">
            <v>TJS</v>
          </cell>
          <cell r="G766">
            <v>0</v>
          </cell>
          <cell r="H766">
            <v>107695</v>
          </cell>
          <cell r="I766">
            <v>8</v>
          </cell>
          <cell r="J766" t="str">
            <v>АОЗТ "Олимп"</v>
          </cell>
          <cell r="K766">
            <v>0</v>
          </cell>
          <cell r="L766">
            <v>107695</v>
          </cell>
          <cell r="M766">
            <v>1</v>
          </cell>
          <cell r="N766">
            <v>0</v>
          </cell>
        </row>
        <row r="767">
          <cell r="A767">
            <v>2003</v>
          </cell>
          <cell r="B767">
            <v>5</v>
          </cell>
          <cell r="C767">
            <v>2</v>
          </cell>
          <cell r="D767">
            <v>360</v>
          </cell>
          <cell r="E767">
            <v>2</v>
          </cell>
          <cell r="F767" t="str">
            <v>USD</v>
          </cell>
          <cell r="G767">
            <v>24</v>
          </cell>
          <cell r="H767">
            <v>618</v>
          </cell>
          <cell r="I767">
            <v>1</v>
          </cell>
          <cell r="J767" t="str">
            <v>АОЗТ "Олимп"</v>
          </cell>
          <cell r="K767">
            <v>14832</v>
          </cell>
          <cell r="L767">
            <v>618</v>
          </cell>
          <cell r="M767">
            <v>1</v>
          </cell>
          <cell r="N767">
            <v>14832</v>
          </cell>
        </row>
        <row r="768">
          <cell r="A768">
            <v>2003</v>
          </cell>
          <cell r="B768">
            <v>5</v>
          </cell>
          <cell r="C768">
            <v>2</v>
          </cell>
          <cell r="D768">
            <v>180</v>
          </cell>
          <cell r="E768">
            <v>2</v>
          </cell>
          <cell r="F768" t="str">
            <v>USD</v>
          </cell>
          <cell r="G768">
            <v>18</v>
          </cell>
          <cell r="H768">
            <v>2614</v>
          </cell>
          <cell r="I768">
            <v>6</v>
          </cell>
          <cell r="J768" t="str">
            <v>АОЗТ "Олимп"</v>
          </cell>
          <cell r="K768">
            <v>47052</v>
          </cell>
          <cell r="L768">
            <v>2614</v>
          </cell>
          <cell r="M768">
            <v>1</v>
          </cell>
          <cell r="N768">
            <v>47052</v>
          </cell>
        </row>
        <row r="769">
          <cell r="A769">
            <v>2003</v>
          </cell>
          <cell r="B769">
            <v>5</v>
          </cell>
          <cell r="C769">
            <v>3</v>
          </cell>
          <cell r="D769">
            <v>0</v>
          </cell>
          <cell r="E769">
            <v>2</v>
          </cell>
          <cell r="F769" t="str">
            <v>TJS</v>
          </cell>
          <cell r="G769">
            <v>2</v>
          </cell>
          <cell r="H769">
            <v>1045</v>
          </cell>
          <cell r="I769">
            <v>20</v>
          </cell>
          <cell r="J769" t="str">
            <v>АОЗТ "Олимп"</v>
          </cell>
          <cell r="K769">
            <v>2090</v>
          </cell>
          <cell r="L769">
            <v>1045</v>
          </cell>
          <cell r="M769">
            <v>1</v>
          </cell>
          <cell r="N769">
            <v>2090</v>
          </cell>
        </row>
        <row r="770">
          <cell r="A770">
            <v>2003</v>
          </cell>
          <cell r="B770">
            <v>5</v>
          </cell>
          <cell r="C770">
            <v>1</v>
          </cell>
          <cell r="D770">
            <v>0</v>
          </cell>
          <cell r="E770">
            <v>1</v>
          </cell>
          <cell r="F770" t="str">
            <v>TJS</v>
          </cell>
          <cell r="G770">
            <v>0</v>
          </cell>
          <cell r="H770">
            <v>24786622</v>
          </cell>
          <cell r="I770">
            <v>546</v>
          </cell>
          <cell r="J770" t="str">
            <v>ГАКБ "Точиксодиротбонк"</v>
          </cell>
          <cell r="K770">
            <v>0</v>
          </cell>
          <cell r="L770">
            <v>24786622</v>
          </cell>
          <cell r="M770">
            <v>1</v>
          </cell>
          <cell r="N770">
            <v>0</v>
          </cell>
        </row>
        <row r="771">
          <cell r="A771">
            <v>2003</v>
          </cell>
          <cell r="B771">
            <v>5</v>
          </cell>
          <cell r="C771">
            <v>1</v>
          </cell>
          <cell r="D771">
            <v>0</v>
          </cell>
          <cell r="E771">
            <v>2</v>
          </cell>
          <cell r="F771" t="str">
            <v>TJS</v>
          </cell>
          <cell r="G771">
            <v>0</v>
          </cell>
          <cell r="H771">
            <v>173</v>
          </cell>
          <cell r="I771">
            <v>55</v>
          </cell>
          <cell r="J771" t="str">
            <v>ГАКБ "Точиксодиротбонк"</v>
          </cell>
          <cell r="K771">
            <v>0</v>
          </cell>
          <cell r="L771">
            <v>173</v>
          </cell>
          <cell r="M771">
            <v>1</v>
          </cell>
          <cell r="N771">
            <v>0</v>
          </cell>
        </row>
        <row r="772">
          <cell r="A772">
            <v>2003</v>
          </cell>
          <cell r="B772">
            <v>5</v>
          </cell>
          <cell r="C772">
            <v>2</v>
          </cell>
          <cell r="D772">
            <v>180</v>
          </cell>
          <cell r="E772">
            <v>2</v>
          </cell>
          <cell r="F772" t="str">
            <v>TJS</v>
          </cell>
          <cell r="G772">
            <v>24</v>
          </cell>
          <cell r="H772">
            <v>1300</v>
          </cell>
          <cell r="I772">
            <v>2</v>
          </cell>
          <cell r="J772" t="str">
            <v>ГАКБ "Точиксодиротбонк"</v>
          </cell>
          <cell r="K772">
            <v>31200</v>
          </cell>
          <cell r="L772">
            <v>1300</v>
          </cell>
          <cell r="M772">
            <v>1</v>
          </cell>
          <cell r="N772">
            <v>31200</v>
          </cell>
        </row>
        <row r="773">
          <cell r="A773">
            <v>2003</v>
          </cell>
          <cell r="B773">
            <v>5</v>
          </cell>
          <cell r="C773">
            <v>2</v>
          </cell>
          <cell r="D773">
            <v>360</v>
          </cell>
          <cell r="E773">
            <v>2</v>
          </cell>
          <cell r="F773" t="str">
            <v>TJS</v>
          </cell>
          <cell r="G773">
            <v>10</v>
          </cell>
          <cell r="H773">
            <v>4466</v>
          </cell>
          <cell r="I773">
            <v>72</v>
          </cell>
          <cell r="J773" t="str">
            <v>ГАКБ "Точиксодиротбонк"</v>
          </cell>
          <cell r="K773">
            <v>44660</v>
          </cell>
          <cell r="L773">
            <v>4466</v>
          </cell>
          <cell r="M773">
            <v>1</v>
          </cell>
          <cell r="N773">
            <v>44660</v>
          </cell>
        </row>
        <row r="774">
          <cell r="A774">
            <v>2003</v>
          </cell>
          <cell r="B774">
            <v>5</v>
          </cell>
          <cell r="C774">
            <v>2</v>
          </cell>
          <cell r="D774">
            <v>360</v>
          </cell>
          <cell r="E774">
            <v>2</v>
          </cell>
          <cell r="F774" t="str">
            <v>TJS</v>
          </cell>
          <cell r="G774">
            <v>22</v>
          </cell>
          <cell r="H774">
            <v>446</v>
          </cell>
          <cell r="I774">
            <v>12</v>
          </cell>
          <cell r="J774" t="str">
            <v>ГАКБ "Точиксодиротбонк"</v>
          </cell>
          <cell r="K774">
            <v>9812</v>
          </cell>
          <cell r="L774">
            <v>446</v>
          </cell>
          <cell r="M774">
            <v>1</v>
          </cell>
          <cell r="N774">
            <v>9812</v>
          </cell>
        </row>
        <row r="775">
          <cell r="A775">
            <v>2003</v>
          </cell>
          <cell r="B775">
            <v>5</v>
          </cell>
          <cell r="C775">
            <v>2</v>
          </cell>
          <cell r="D775">
            <v>360</v>
          </cell>
          <cell r="E775">
            <v>2</v>
          </cell>
          <cell r="F775" t="str">
            <v>TJS</v>
          </cell>
          <cell r="G775">
            <v>25</v>
          </cell>
          <cell r="H775">
            <v>5072</v>
          </cell>
          <cell r="I775">
            <v>7</v>
          </cell>
          <cell r="J775" t="str">
            <v>ГАКБ "Точиксодиротбонк"</v>
          </cell>
          <cell r="K775">
            <v>126800</v>
          </cell>
          <cell r="L775">
            <v>5072</v>
          </cell>
          <cell r="M775">
            <v>1</v>
          </cell>
          <cell r="N775">
            <v>126800</v>
          </cell>
        </row>
        <row r="776">
          <cell r="A776">
            <v>2003</v>
          </cell>
          <cell r="B776">
            <v>5</v>
          </cell>
          <cell r="C776">
            <v>2</v>
          </cell>
          <cell r="D776">
            <v>601</v>
          </cell>
          <cell r="E776">
            <v>2</v>
          </cell>
          <cell r="F776" t="str">
            <v>TJS</v>
          </cell>
          <cell r="G776">
            <v>30</v>
          </cell>
          <cell r="H776">
            <v>1952</v>
          </cell>
          <cell r="I776">
            <v>15</v>
          </cell>
          <cell r="J776" t="str">
            <v>ГАКБ "Точиксодиротбонк"</v>
          </cell>
          <cell r="K776">
            <v>58560</v>
          </cell>
          <cell r="L776">
            <v>1952</v>
          </cell>
          <cell r="M776">
            <v>1</v>
          </cell>
          <cell r="N776">
            <v>58560</v>
          </cell>
        </row>
        <row r="777">
          <cell r="A777">
            <v>2003</v>
          </cell>
          <cell r="B777">
            <v>5</v>
          </cell>
          <cell r="C777">
            <v>3</v>
          </cell>
          <cell r="D777">
            <v>360</v>
          </cell>
          <cell r="E777">
            <v>2</v>
          </cell>
          <cell r="F777" t="str">
            <v>TJS</v>
          </cell>
          <cell r="G777">
            <v>25</v>
          </cell>
          <cell r="H777">
            <v>63949</v>
          </cell>
          <cell r="I777">
            <v>4</v>
          </cell>
          <cell r="J777" t="str">
            <v>ГАКБ "Точиксодиротбонк"</v>
          </cell>
          <cell r="K777">
            <v>1598725</v>
          </cell>
          <cell r="L777">
            <v>63949</v>
          </cell>
          <cell r="M777">
            <v>1</v>
          </cell>
          <cell r="N777">
            <v>1598725</v>
          </cell>
        </row>
        <row r="778">
          <cell r="A778">
            <v>2003</v>
          </cell>
          <cell r="B778">
            <v>5</v>
          </cell>
          <cell r="C778">
            <v>3</v>
          </cell>
          <cell r="D778">
            <v>360</v>
          </cell>
          <cell r="E778">
            <v>2</v>
          </cell>
          <cell r="F778" t="str">
            <v>TJS</v>
          </cell>
          <cell r="G778">
            <v>20</v>
          </cell>
          <cell r="H778">
            <v>12</v>
          </cell>
          <cell r="I778">
            <v>1</v>
          </cell>
          <cell r="J778" t="str">
            <v>ГАКБ "Точиксодиротбонк"</v>
          </cell>
          <cell r="K778">
            <v>240</v>
          </cell>
          <cell r="L778">
            <v>12</v>
          </cell>
          <cell r="M778">
            <v>1</v>
          </cell>
          <cell r="N778">
            <v>240</v>
          </cell>
        </row>
        <row r="779">
          <cell r="A779">
            <v>2003</v>
          </cell>
          <cell r="B779">
            <v>5</v>
          </cell>
          <cell r="C779">
            <v>1</v>
          </cell>
          <cell r="D779">
            <v>0</v>
          </cell>
          <cell r="E779">
            <v>1</v>
          </cell>
          <cell r="F779" t="str">
            <v>USD</v>
          </cell>
          <cell r="G779">
            <v>0</v>
          </cell>
          <cell r="H779">
            <v>26011956</v>
          </cell>
          <cell r="I779">
            <v>340</v>
          </cell>
          <cell r="J779" t="str">
            <v>ГАКБ "Точиксодиротбонк"</v>
          </cell>
          <cell r="K779">
            <v>0</v>
          </cell>
          <cell r="L779">
            <v>26011956</v>
          </cell>
          <cell r="M779">
            <v>1</v>
          </cell>
          <cell r="N779">
            <v>0</v>
          </cell>
        </row>
        <row r="780">
          <cell r="A780">
            <v>2003</v>
          </cell>
          <cell r="B780">
            <v>5</v>
          </cell>
          <cell r="C780">
            <v>1</v>
          </cell>
          <cell r="D780">
            <v>0</v>
          </cell>
          <cell r="E780">
            <v>2</v>
          </cell>
          <cell r="F780" t="str">
            <v>USD</v>
          </cell>
          <cell r="G780">
            <v>0</v>
          </cell>
          <cell r="H780">
            <v>1401016</v>
          </cell>
          <cell r="I780">
            <v>56</v>
          </cell>
          <cell r="J780" t="str">
            <v>ГАКБ "Точиксодиротбонк"</v>
          </cell>
          <cell r="K780">
            <v>0</v>
          </cell>
          <cell r="L780">
            <v>1401016</v>
          </cell>
          <cell r="M780">
            <v>1</v>
          </cell>
          <cell r="N780">
            <v>0</v>
          </cell>
        </row>
        <row r="781">
          <cell r="A781">
            <v>2003</v>
          </cell>
          <cell r="B781">
            <v>5</v>
          </cell>
          <cell r="C781">
            <v>2</v>
          </cell>
          <cell r="D781">
            <v>720</v>
          </cell>
          <cell r="E781">
            <v>2</v>
          </cell>
          <cell r="F781" t="str">
            <v>USD</v>
          </cell>
          <cell r="G781">
            <v>18</v>
          </cell>
          <cell r="H781">
            <v>30900</v>
          </cell>
          <cell r="I781">
            <v>1</v>
          </cell>
          <cell r="J781" t="str">
            <v>ГАКБ "Точиксодиротбонк"</v>
          </cell>
          <cell r="K781">
            <v>556200</v>
          </cell>
          <cell r="L781">
            <v>30900</v>
          </cell>
          <cell r="M781">
            <v>1</v>
          </cell>
          <cell r="N781">
            <v>556200</v>
          </cell>
        </row>
        <row r="782">
          <cell r="A782">
            <v>2003</v>
          </cell>
          <cell r="B782">
            <v>5</v>
          </cell>
          <cell r="C782">
            <v>2</v>
          </cell>
          <cell r="D782">
            <v>720</v>
          </cell>
          <cell r="E782">
            <v>2</v>
          </cell>
          <cell r="F782" t="str">
            <v>USD</v>
          </cell>
          <cell r="G782">
            <v>21</v>
          </cell>
          <cell r="H782">
            <v>331938</v>
          </cell>
          <cell r="I782">
            <v>13</v>
          </cell>
          <cell r="J782" t="str">
            <v>ГАКБ "Точиксодиротбонк"</v>
          </cell>
          <cell r="K782">
            <v>6970698</v>
          </cell>
          <cell r="L782">
            <v>331938</v>
          </cell>
          <cell r="M782">
            <v>1</v>
          </cell>
          <cell r="N782">
            <v>6970698</v>
          </cell>
        </row>
        <row r="783">
          <cell r="A783">
            <v>2003</v>
          </cell>
          <cell r="B783">
            <v>5</v>
          </cell>
          <cell r="C783">
            <v>2</v>
          </cell>
          <cell r="D783">
            <v>601</v>
          </cell>
          <cell r="E783">
            <v>2</v>
          </cell>
          <cell r="F783" t="str">
            <v>USD</v>
          </cell>
          <cell r="G783">
            <v>20</v>
          </cell>
          <cell r="H783">
            <v>1686</v>
          </cell>
          <cell r="I783">
            <v>2</v>
          </cell>
          <cell r="J783" t="str">
            <v>ГАКБ "Точиксодиротбонк"</v>
          </cell>
          <cell r="K783">
            <v>33720</v>
          </cell>
          <cell r="L783">
            <v>1686</v>
          </cell>
          <cell r="M783">
            <v>1</v>
          </cell>
          <cell r="N783">
            <v>33720</v>
          </cell>
        </row>
        <row r="784">
          <cell r="A784">
            <v>2003</v>
          </cell>
          <cell r="B784">
            <v>5</v>
          </cell>
          <cell r="C784">
            <v>2</v>
          </cell>
          <cell r="D784">
            <v>540</v>
          </cell>
          <cell r="E784">
            <v>2</v>
          </cell>
          <cell r="F784" t="str">
            <v>USD</v>
          </cell>
          <cell r="G784">
            <v>12</v>
          </cell>
          <cell r="H784">
            <v>13287</v>
          </cell>
          <cell r="I784">
            <v>1</v>
          </cell>
          <cell r="J784" t="str">
            <v>ГАКБ "Точиксодиротбонк"</v>
          </cell>
          <cell r="K784">
            <v>159444</v>
          </cell>
          <cell r="L784">
            <v>13287</v>
          </cell>
          <cell r="M784">
            <v>1</v>
          </cell>
          <cell r="N784">
            <v>159444</v>
          </cell>
        </row>
        <row r="785">
          <cell r="A785">
            <v>2003</v>
          </cell>
          <cell r="B785">
            <v>5</v>
          </cell>
          <cell r="C785">
            <v>2</v>
          </cell>
          <cell r="D785">
            <v>360</v>
          </cell>
          <cell r="E785">
            <v>2</v>
          </cell>
          <cell r="F785" t="str">
            <v>USD</v>
          </cell>
          <cell r="G785">
            <v>18</v>
          </cell>
          <cell r="H785">
            <v>5052114</v>
          </cell>
          <cell r="I785">
            <v>15</v>
          </cell>
          <cell r="J785" t="str">
            <v>ГАКБ "Точиксодиротбонк"</v>
          </cell>
          <cell r="K785">
            <v>90938052</v>
          </cell>
          <cell r="L785">
            <v>5052114</v>
          </cell>
          <cell r="M785">
            <v>1</v>
          </cell>
          <cell r="N785">
            <v>90938052</v>
          </cell>
        </row>
        <row r="786">
          <cell r="A786">
            <v>2003</v>
          </cell>
          <cell r="B786">
            <v>5</v>
          </cell>
          <cell r="C786">
            <v>2</v>
          </cell>
          <cell r="D786">
            <v>360</v>
          </cell>
          <cell r="E786">
            <v>2</v>
          </cell>
          <cell r="F786" t="str">
            <v>USD</v>
          </cell>
          <cell r="G786">
            <v>20</v>
          </cell>
          <cell r="H786">
            <v>494400</v>
          </cell>
          <cell r="I786">
            <v>1</v>
          </cell>
          <cell r="J786" t="str">
            <v>ГАКБ "Точиксодиротбонк"</v>
          </cell>
          <cell r="K786">
            <v>9888000</v>
          </cell>
          <cell r="L786">
            <v>494400</v>
          </cell>
          <cell r="M786">
            <v>1</v>
          </cell>
          <cell r="N786">
            <v>9888000</v>
          </cell>
        </row>
        <row r="787">
          <cell r="A787">
            <v>2003</v>
          </cell>
          <cell r="B787">
            <v>5</v>
          </cell>
          <cell r="C787">
            <v>2</v>
          </cell>
          <cell r="D787">
            <v>360</v>
          </cell>
          <cell r="E787">
            <v>2</v>
          </cell>
          <cell r="F787" t="str">
            <v>USD</v>
          </cell>
          <cell r="G787">
            <v>15</v>
          </cell>
          <cell r="H787">
            <v>32754</v>
          </cell>
          <cell r="I787">
            <v>1</v>
          </cell>
          <cell r="J787" t="str">
            <v>ГАКБ "Точиксодиротбонк"</v>
          </cell>
          <cell r="K787">
            <v>491310</v>
          </cell>
          <cell r="L787">
            <v>32754</v>
          </cell>
          <cell r="M787">
            <v>1</v>
          </cell>
          <cell r="N787">
            <v>491310</v>
          </cell>
        </row>
        <row r="788">
          <cell r="A788">
            <v>2003</v>
          </cell>
          <cell r="B788">
            <v>5</v>
          </cell>
          <cell r="C788">
            <v>3</v>
          </cell>
          <cell r="D788">
            <v>360</v>
          </cell>
          <cell r="E788">
            <v>2</v>
          </cell>
          <cell r="F788" t="str">
            <v>USD</v>
          </cell>
          <cell r="G788">
            <v>20</v>
          </cell>
          <cell r="H788">
            <v>63259</v>
          </cell>
          <cell r="I788">
            <v>2</v>
          </cell>
          <cell r="J788" t="str">
            <v>ГАКБ "Точиксодиротбонк"</v>
          </cell>
          <cell r="K788">
            <v>1265180</v>
          </cell>
          <cell r="L788">
            <v>63259</v>
          </cell>
          <cell r="M788">
            <v>1</v>
          </cell>
          <cell r="N788">
            <v>1265180</v>
          </cell>
        </row>
        <row r="789">
          <cell r="A789">
            <v>2003</v>
          </cell>
          <cell r="B789">
            <v>5</v>
          </cell>
          <cell r="C789">
            <v>3</v>
          </cell>
          <cell r="D789">
            <v>0</v>
          </cell>
          <cell r="E789">
            <v>2</v>
          </cell>
          <cell r="F789" t="str">
            <v>USD</v>
          </cell>
          <cell r="G789">
            <v>20</v>
          </cell>
          <cell r="H789">
            <v>593</v>
          </cell>
          <cell r="I789">
            <v>1</v>
          </cell>
          <cell r="J789" t="str">
            <v>ГАКБ "Точиксодиротбонк"</v>
          </cell>
          <cell r="K789">
            <v>11860</v>
          </cell>
          <cell r="L789">
            <v>593</v>
          </cell>
          <cell r="M789">
            <v>1</v>
          </cell>
          <cell r="N789">
            <v>11860</v>
          </cell>
        </row>
        <row r="790">
          <cell r="A790">
            <v>2003</v>
          </cell>
          <cell r="B790">
            <v>5</v>
          </cell>
          <cell r="C790">
            <v>2</v>
          </cell>
          <cell r="D790">
            <v>360</v>
          </cell>
          <cell r="E790">
            <v>1</v>
          </cell>
          <cell r="F790" t="str">
            <v>USD</v>
          </cell>
          <cell r="G790">
            <v>18</v>
          </cell>
          <cell r="H790">
            <v>309000</v>
          </cell>
          <cell r="I790">
            <v>1</v>
          </cell>
          <cell r="J790" t="str">
            <v>ГАКБ "Точиксодиротбонк"</v>
          </cell>
          <cell r="K790">
            <v>5562000</v>
          </cell>
          <cell r="L790">
            <v>309000</v>
          </cell>
          <cell r="M790">
            <v>1</v>
          </cell>
          <cell r="N790">
            <v>5562000</v>
          </cell>
        </row>
        <row r="791">
          <cell r="A791">
            <v>2003</v>
          </cell>
          <cell r="B791">
            <v>5</v>
          </cell>
          <cell r="C791">
            <v>2</v>
          </cell>
          <cell r="D791">
            <v>180</v>
          </cell>
          <cell r="E791">
            <v>2</v>
          </cell>
          <cell r="F791" t="str">
            <v>USD</v>
          </cell>
          <cell r="G791">
            <v>12</v>
          </cell>
          <cell r="H791">
            <v>3090</v>
          </cell>
          <cell r="I791">
            <v>1</v>
          </cell>
          <cell r="J791" t="str">
            <v>ГАКБ "Точиксодиротбонк"</v>
          </cell>
          <cell r="K791">
            <v>37080</v>
          </cell>
          <cell r="L791">
            <v>3090</v>
          </cell>
          <cell r="M791">
            <v>1</v>
          </cell>
          <cell r="N791">
            <v>37080</v>
          </cell>
        </row>
        <row r="792">
          <cell r="A792">
            <v>2003</v>
          </cell>
          <cell r="B792">
            <v>5</v>
          </cell>
          <cell r="C792">
            <v>2</v>
          </cell>
          <cell r="D792">
            <v>360</v>
          </cell>
          <cell r="E792">
            <v>2</v>
          </cell>
          <cell r="F792" t="str">
            <v>USD</v>
          </cell>
          <cell r="G792">
            <v>12</v>
          </cell>
          <cell r="H792">
            <v>26729</v>
          </cell>
          <cell r="I792">
            <v>2</v>
          </cell>
          <cell r="J792" t="str">
            <v>ГАКБ "Точиксодиротбонк"</v>
          </cell>
          <cell r="K792">
            <v>320748</v>
          </cell>
          <cell r="L792">
            <v>26729</v>
          </cell>
          <cell r="M792">
            <v>1</v>
          </cell>
          <cell r="N792">
            <v>320748</v>
          </cell>
        </row>
        <row r="793">
          <cell r="A793">
            <v>2003</v>
          </cell>
          <cell r="B793">
            <v>5</v>
          </cell>
          <cell r="C793">
            <v>2</v>
          </cell>
          <cell r="D793">
            <v>360</v>
          </cell>
          <cell r="E793">
            <v>2</v>
          </cell>
          <cell r="F793" t="str">
            <v>USD</v>
          </cell>
          <cell r="G793">
            <v>15</v>
          </cell>
          <cell r="H793">
            <v>155</v>
          </cell>
          <cell r="I793">
            <v>1</v>
          </cell>
          <cell r="J793" t="str">
            <v>ГАКБ "Точиксодиротбонк"</v>
          </cell>
          <cell r="K793">
            <v>2325</v>
          </cell>
          <cell r="L793">
            <v>155</v>
          </cell>
          <cell r="M793">
            <v>1</v>
          </cell>
          <cell r="N793">
            <v>2325</v>
          </cell>
        </row>
        <row r="794">
          <cell r="A794">
            <v>2003</v>
          </cell>
          <cell r="B794">
            <v>5</v>
          </cell>
          <cell r="C794">
            <v>2</v>
          </cell>
          <cell r="D794">
            <v>540</v>
          </cell>
          <cell r="E794">
            <v>2</v>
          </cell>
          <cell r="F794" t="str">
            <v>USD</v>
          </cell>
          <cell r="G794">
            <v>18</v>
          </cell>
          <cell r="H794">
            <v>884</v>
          </cell>
          <cell r="I794">
            <v>1</v>
          </cell>
          <cell r="J794" t="str">
            <v>ГАКБ "Точиксодиротбонк"</v>
          </cell>
          <cell r="K794">
            <v>15912</v>
          </cell>
          <cell r="L794">
            <v>884</v>
          </cell>
          <cell r="M794">
            <v>1</v>
          </cell>
          <cell r="N794">
            <v>15912</v>
          </cell>
        </row>
        <row r="795">
          <cell r="A795">
            <v>2003</v>
          </cell>
          <cell r="B795">
            <v>5</v>
          </cell>
          <cell r="C795">
            <v>2</v>
          </cell>
          <cell r="D795">
            <v>600</v>
          </cell>
          <cell r="E795">
            <v>2</v>
          </cell>
          <cell r="F795" t="str">
            <v>USD</v>
          </cell>
          <cell r="G795">
            <v>21</v>
          </cell>
          <cell r="H795">
            <v>96000</v>
          </cell>
          <cell r="I795">
            <v>7</v>
          </cell>
          <cell r="J795" t="str">
            <v>ГАКБ "Точиксодиротбонк"</v>
          </cell>
          <cell r="K795">
            <v>2016000</v>
          </cell>
          <cell r="L795">
            <v>96000</v>
          </cell>
          <cell r="M795">
            <v>1</v>
          </cell>
          <cell r="N795">
            <v>2016000</v>
          </cell>
        </row>
        <row r="796">
          <cell r="A796">
            <v>2003</v>
          </cell>
          <cell r="B796">
            <v>5</v>
          </cell>
          <cell r="C796">
            <v>2</v>
          </cell>
          <cell r="D796">
            <v>360</v>
          </cell>
          <cell r="E796">
            <v>2</v>
          </cell>
          <cell r="F796" t="str">
            <v>USD</v>
          </cell>
          <cell r="G796">
            <v>10.5</v>
          </cell>
          <cell r="H796">
            <v>556</v>
          </cell>
          <cell r="I796">
            <v>1</v>
          </cell>
          <cell r="J796" t="str">
            <v>ГАКБ "Точиксодиротбонк"</v>
          </cell>
          <cell r="K796">
            <v>5838</v>
          </cell>
          <cell r="L796">
            <v>556</v>
          </cell>
          <cell r="M796">
            <v>1</v>
          </cell>
          <cell r="N796">
            <v>5838</v>
          </cell>
        </row>
        <row r="797">
          <cell r="A797">
            <v>2003</v>
          </cell>
          <cell r="B797">
            <v>5</v>
          </cell>
          <cell r="C797">
            <v>2</v>
          </cell>
          <cell r="D797">
            <v>90</v>
          </cell>
          <cell r="E797">
            <v>2</v>
          </cell>
          <cell r="F797" t="str">
            <v>USD</v>
          </cell>
          <cell r="G797">
            <v>13</v>
          </cell>
          <cell r="H797">
            <v>7725</v>
          </cell>
          <cell r="I797">
            <v>2</v>
          </cell>
          <cell r="J797" t="str">
            <v>ГАКБ "Точиксодиротбонк"</v>
          </cell>
          <cell r="K797">
            <v>100425</v>
          </cell>
          <cell r="L797">
            <v>7725</v>
          </cell>
          <cell r="M797">
            <v>1</v>
          </cell>
          <cell r="N797">
            <v>100425</v>
          </cell>
        </row>
        <row r="798">
          <cell r="A798">
            <v>2003</v>
          </cell>
          <cell r="B798">
            <v>5</v>
          </cell>
          <cell r="C798">
            <v>2</v>
          </cell>
          <cell r="D798">
            <v>180</v>
          </cell>
          <cell r="E798">
            <v>2</v>
          </cell>
          <cell r="F798" t="str">
            <v>USD</v>
          </cell>
          <cell r="G798">
            <v>9</v>
          </cell>
          <cell r="H798">
            <v>180</v>
          </cell>
          <cell r="I798">
            <v>1</v>
          </cell>
          <cell r="J798" t="str">
            <v>ГАКБ "Точиксодиротбонк"</v>
          </cell>
          <cell r="K798">
            <v>1620</v>
          </cell>
          <cell r="L798">
            <v>180</v>
          </cell>
          <cell r="M798">
            <v>1</v>
          </cell>
          <cell r="N798">
            <v>1620</v>
          </cell>
        </row>
        <row r="799">
          <cell r="A799">
            <v>2003</v>
          </cell>
          <cell r="B799">
            <v>5</v>
          </cell>
          <cell r="C799">
            <v>2</v>
          </cell>
          <cell r="D799">
            <v>120</v>
          </cell>
          <cell r="E799">
            <v>2</v>
          </cell>
          <cell r="F799" t="str">
            <v>USD</v>
          </cell>
          <cell r="G799">
            <v>6</v>
          </cell>
          <cell r="H799">
            <v>3105</v>
          </cell>
          <cell r="I799">
            <v>1</v>
          </cell>
          <cell r="J799" t="str">
            <v>ГАКБ "Точиксодиротбонк"</v>
          </cell>
          <cell r="K799">
            <v>18630</v>
          </cell>
          <cell r="L799">
            <v>3105</v>
          </cell>
          <cell r="M799">
            <v>1</v>
          </cell>
          <cell r="N799">
            <v>18630</v>
          </cell>
        </row>
        <row r="800">
          <cell r="A800">
            <v>2003</v>
          </cell>
          <cell r="B800">
            <v>5</v>
          </cell>
          <cell r="C800">
            <v>2</v>
          </cell>
          <cell r="D800">
            <v>120</v>
          </cell>
          <cell r="E800">
            <v>2</v>
          </cell>
          <cell r="F800" t="str">
            <v>USD</v>
          </cell>
          <cell r="G800">
            <v>25</v>
          </cell>
          <cell r="H800">
            <v>64</v>
          </cell>
          <cell r="I800">
            <v>1</v>
          </cell>
          <cell r="J800" t="str">
            <v>ГАКБ "Точиксодиротбонк"</v>
          </cell>
          <cell r="K800">
            <v>1600</v>
          </cell>
          <cell r="L800">
            <v>64</v>
          </cell>
          <cell r="M800">
            <v>1</v>
          </cell>
          <cell r="N800">
            <v>1600</v>
          </cell>
        </row>
        <row r="801">
          <cell r="A801">
            <v>2003</v>
          </cell>
          <cell r="B801">
            <v>5</v>
          </cell>
          <cell r="C801">
            <v>1</v>
          </cell>
          <cell r="D801">
            <v>0</v>
          </cell>
          <cell r="E801">
            <v>1</v>
          </cell>
          <cell r="F801" t="str">
            <v>RUR</v>
          </cell>
          <cell r="G801">
            <v>0</v>
          </cell>
          <cell r="H801">
            <v>150828</v>
          </cell>
          <cell r="I801">
            <v>23</v>
          </cell>
          <cell r="J801" t="str">
            <v>ГАКБ "Точиксодиротбонк"</v>
          </cell>
          <cell r="K801">
            <v>0</v>
          </cell>
          <cell r="L801">
            <v>149404.39484809755</v>
          </cell>
          <cell r="M801">
            <v>0.9905614000589914</v>
          </cell>
          <cell r="N801">
            <v>0</v>
          </cell>
        </row>
        <row r="802">
          <cell r="A802">
            <v>2003</v>
          </cell>
          <cell r="B802">
            <v>5</v>
          </cell>
          <cell r="C802">
            <v>1</v>
          </cell>
          <cell r="D802">
            <v>0</v>
          </cell>
          <cell r="E802">
            <v>1</v>
          </cell>
          <cell r="F802" t="str">
            <v>EURO</v>
          </cell>
          <cell r="G802">
            <v>0</v>
          </cell>
          <cell r="H802">
            <v>24029</v>
          </cell>
          <cell r="I802">
            <v>6</v>
          </cell>
          <cell r="J802" t="str">
            <v>ГАКБ "Точиксодиротбонк"</v>
          </cell>
          <cell r="K802">
            <v>0</v>
          </cell>
          <cell r="L802">
            <v>24243.449204848752</v>
          </cell>
          <cell r="M802">
            <v>1.008924599644128</v>
          </cell>
          <cell r="N802">
            <v>0</v>
          </cell>
        </row>
        <row r="803">
          <cell r="A803">
            <v>2003</v>
          </cell>
          <cell r="B803">
            <v>5</v>
          </cell>
          <cell r="C803">
            <v>1</v>
          </cell>
          <cell r="D803">
            <v>0</v>
          </cell>
          <cell r="E803">
            <v>1</v>
          </cell>
          <cell r="F803" t="str">
            <v>TJS</v>
          </cell>
          <cell r="G803">
            <v>0</v>
          </cell>
          <cell r="H803">
            <v>21612389</v>
          </cell>
          <cell r="I803">
            <v>3871</v>
          </cell>
          <cell r="J803" t="str">
            <v>ГСБ "Амонатбанк"</v>
          </cell>
          <cell r="K803">
            <v>0</v>
          </cell>
          <cell r="L803">
            <v>21612389</v>
          </cell>
          <cell r="M803">
            <v>1</v>
          </cell>
          <cell r="N803">
            <v>0</v>
          </cell>
        </row>
        <row r="804">
          <cell r="A804">
            <v>2003</v>
          </cell>
          <cell r="B804">
            <v>5</v>
          </cell>
          <cell r="C804">
            <v>1</v>
          </cell>
          <cell r="D804">
            <v>0</v>
          </cell>
          <cell r="E804">
            <v>1</v>
          </cell>
          <cell r="F804" t="str">
            <v>TJS</v>
          </cell>
          <cell r="G804">
            <v>2.4</v>
          </cell>
          <cell r="H804">
            <v>67874209</v>
          </cell>
          <cell r="I804">
            <v>1718</v>
          </cell>
          <cell r="J804" t="str">
            <v>ГСБ "Амонатбанк"</v>
          </cell>
          <cell r="K804">
            <v>162898101.6</v>
          </cell>
          <cell r="L804">
            <v>67874209</v>
          </cell>
          <cell r="M804">
            <v>1</v>
          </cell>
          <cell r="N804">
            <v>162898101.6</v>
          </cell>
        </row>
        <row r="805">
          <cell r="A805">
            <v>2003</v>
          </cell>
          <cell r="B805">
            <v>5</v>
          </cell>
          <cell r="C805">
            <v>1</v>
          </cell>
          <cell r="D805">
            <v>0</v>
          </cell>
          <cell r="E805">
            <v>2</v>
          </cell>
          <cell r="F805" t="str">
            <v>TJS</v>
          </cell>
          <cell r="G805">
            <v>0</v>
          </cell>
          <cell r="H805">
            <v>461808</v>
          </cell>
          <cell r="I805">
            <v>268</v>
          </cell>
          <cell r="J805" t="str">
            <v>ГСБ "Амонатбанк"</v>
          </cell>
          <cell r="K805">
            <v>0</v>
          </cell>
          <cell r="L805">
            <v>461808</v>
          </cell>
          <cell r="M805">
            <v>1</v>
          </cell>
          <cell r="N805">
            <v>0</v>
          </cell>
        </row>
        <row r="806">
          <cell r="A806">
            <v>2003</v>
          </cell>
          <cell r="B806">
            <v>5</v>
          </cell>
          <cell r="C806">
            <v>2</v>
          </cell>
          <cell r="D806">
            <v>90</v>
          </cell>
          <cell r="E806">
            <v>2</v>
          </cell>
          <cell r="F806" t="str">
            <v>TJS</v>
          </cell>
          <cell r="G806">
            <v>15</v>
          </cell>
          <cell r="H806">
            <v>43434</v>
          </cell>
          <cell r="I806">
            <v>24</v>
          </cell>
          <cell r="J806" t="str">
            <v>ГСБ "Амонатбанк"</v>
          </cell>
          <cell r="K806">
            <v>651510</v>
          </cell>
          <cell r="L806">
            <v>43434</v>
          </cell>
          <cell r="M806">
            <v>1</v>
          </cell>
          <cell r="N806">
            <v>651510</v>
          </cell>
        </row>
        <row r="807">
          <cell r="A807">
            <v>2003</v>
          </cell>
          <cell r="B807">
            <v>5</v>
          </cell>
          <cell r="C807">
            <v>2</v>
          </cell>
          <cell r="D807">
            <v>180</v>
          </cell>
          <cell r="E807">
            <v>2</v>
          </cell>
          <cell r="F807" t="str">
            <v>TJS</v>
          </cell>
          <cell r="G807">
            <v>18</v>
          </cell>
          <cell r="H807">
            <v>85566</v>
          </cell>
          <cell r="I807">
            <v>16</v>
          </cell>
          <cell r="J807" t="str">
            <v>ГСБ "Амонатбанк"</v>
          </cell>
          <cell r="K807">
            <v>1540188</v>
          </cell>
          <cell r="L807">
            <v>85566</v>
          </cell>
          <cell r="M807">
            <v>1</v>
          </cell>
          <cell r="N807">
            <v>1540188</v>
          </cell>
        </row>
        <row r="808">
          <cell r="A808">
            <v>2003</v>
          </cell>
          <cell r="B808">
            <v>5</v>
          </cell>
          <cell r="C808">
            <v>2</v>
          </cell>
          <cell r="D808">
            <v>360</v>
          </cell>
          <cell r="E808">
            <v>2</v>
          </cell>
          <cell r="F808" t="str">
            <v>TJS</v>
          </cell>
          <cell r="G808">
            <v>24</v>
          </cell>
          <cell r="H808">
            <v>90705</v>
          </cell>
          <cell r="I808">
            <v>23</v>
          </cell>
          <cell r="J808" t="str">
            <v>ГСБ "Амонатбанк"</v>
          </cell>
          <cell r="K808">
            <v>2176920</v>
          </cell>
          <cell r="L808">
            <v>90705</v>
          </cell>
          <cell r="M808">
            <v>1</v>
          </cell>
          <cell r="N808">
            <v>2176920</v>
          </cell>
        </row>
        <row r="809">
          <cell r="A809">
            <v>2003</v>
          </cell>
          <cell r="B809">
            <v>5</v>
          </cell>
          <cell r="C809">
            <v>2</v>
          </cell>
          <cell r="D809">
            <v>1080</v>
          </cell>
          <cell r="E809">
            <v>2</v>
          </cell>
          <cell r="F809" t="str">
            <v>TJS</v>
          </cell>
          <cell r="G809">
            <v>30</v>
          </cell>
          <cell r="H809">
            <v>78586</v>
          </cell>
          <cell r="I809">
            <v>21</v>
          </cell>
          <cell r="J809" t="str">
            <v>ГСБ "Амонатбанк"</v>
          </cell>
          <cell r="K809">
            <v>2357580</v>
          </cell>
          <cell r="L809">
            <v>78586</v>
          </cell>
          <cell r="M809">
            <v>1</v>
          </cell>
          <cell r="N809">
            <v>2357580</v>
          </cell>
        </row>
        <row r="810">
          <cell r="A810">
            <v>2003</v>
          </cell>
          <cell r="B810">
            <v>5</v>
          </cell>
          <cell r="C810">
            <v>2</v>
          </cell>
          <cell r="D810">
            <v>360</v>
          </cell>
          <cell r="E810">
            <v>2</v>
          </cell>
          <cell r="F810" t="str">
            <v>TJS</v>
          </cell>
          <cell r="G810">
            <v>2</v>
          </cell>
          <cell r="H810">
            <v>25</v>
          </cell>
          <cell r="I810">
            <v>2</v>
          </cell>
          <cell r="J810" t="str">
            <v>ГСБ "Амонатбанк"</v>
          </cell>
          <cell r="K810">
            <v>50</v>
          </cell>
          <cell r="L810">
            <v>25</v>
          </cell>
          <cell r="M810">
            <v>1</v>
          </cell>
          <cell r="N810">
            <v>50</v>
          </cell>
        </row>
        <row r="811">
          <cell r="A811">
            <v>2003</v>
          </cell>
          <cell r="B811">
            <v>5</v>
          </cell>
          <cell r="C811">
            <v>3</v>
          </cell>
          <cell r="D811">
            <v>360</v>
          </cell>
          <cell r="E811">
            <v>2</v>
          </cell>
          <cell r="F811" t="str">
            <v>TJS</v>
          </cell>
          <cell r="G811">
            <v>2</v>
          </cell>
          <cell r="H811">
            <v>1222413</v>
          </cell>
          <cell r="I811">
            <v>24156</v>
          </cell>
          <cell r="J811" t="str">
            <v>ГСБ "Амонатбанк"</v>
          </cell>
          <cell r="K811">
            <v>2444826</v>
          </cell>
          <cell r="L811">
            <v>1222413</v>
          </cell>
          <cell r="M811">
            <v>1</v>
          </cell>
          <cell r="N811">
            <v>2444826</v>
          </cell>
        </row>
        <row r="812">
          <cell r="A812">
            <v>2003</v>
          </cell>
          <cell r="B812">
            <v>5</v>
          </cell>
          <cell r="C812">
            <v>1</v>
          </cell>
          <cell r="D812">
            <v>0</v>
          </cell>
          <cell r="E812">
            <v>1</v>
          </cell>
          <cell r="F812" t="str">
            <v>RUR</v>
          </cell>
          <cell r="G812">
            <v>0</v>
          </cell>
          <cell r="H812">
            <v>261167</v>
          </cell>
          <cell r="I812">
            <v>23</v>
          </cell>
          <cell r="J812" t="str">
            <v>ГСБ "Амонатбанк"</v>
          </cell>
          <cell r="K812">
            <v>0</v>
          </cell>
          <cell r="L812">
            <v>258701.9491692066</v>
          </cell>
          <cell r="M812">
            <v>0.9905614000589914</v>
          </cell>
          <cell r="N812">
            <v>0</v>
          </cell>
        </row>
        <row r="813">
          <cell r="A813">
            <v>2003</v>
          </cell>
          <cell r="B813">
            <v>5</v>
          </cell>
          <cell r="C813">
            <v>1</v>
          </cell>
          <cell r="D813">
            <v>0</v>
          </cell>
          <cell r="E813">
            <v>1</v>
          </cell>
          <cell r="F813" t="str">
            <v>RUR</v>
          </cell>
          <cell r="G813">
            <v>0</v>
          </cell>
          <cell r="H813">
            <v>2059</v>
          </cell>
          <cell r="I813">
            <v>12</v>
          </cell>
          <cell r="J813" t="str">
            <v>ГСБ "Амонатбанк"</v>
          </cell>
          <cell r="K813">
            <v>0</v>
          </cell>
          <cell r="L813">
            <v>2039.5659227214633</v>
          </cell>
          <cell r="M813">
            <v>0.9905614000589914</v>
          </cell>
          <cell r="N813">
            <v>0</v>
          </cell>
        </row>
        <row r="814">
          <cell r="A814">
            <v>2003</v>
          </cell>
          <cell r="B814">
            <v>5</v>
          </cell>
          <cell r="C814">
            <v>1</v>
          </cell>
          <cell r="D814">
            <v>0</v>
          </cell>
          <cell r="E814">
            <v>2</v>
          </cell>
          <cell r="F814" t="str">
            <v>USD</v>
          </cell>
          <cell r="G814">
            <v>0</v>
          </cell>
          <cell r="H814">
            <v>3460689</v>
          </cell>
          <cell r="I814">
            <v>106</v>
          </cell>
          <cell r="J814" t="str">
            <v>ГСБ "Амонатбанк"</v>
          </cell>
          <cell r="K814">
            <v>0</v>
          </cell>
          <cell r="L814">
            <v>3460689</v>
          </cell>
          <cell r="M814">
            <v>1</v>
          </cell>
          <cell r="N814">
            <v>0</v>
          </cell>
        </row>
        <row r="815">
          <cell r="A815">
            <v>2003</v>
          </cell>
          <cell r="B815">
            <v>5</v>
          </cell>
          <cell r="C815">
            <v>2</v>
          </cell>
          <cell r="D815">
            <v>90</v>
          </cell>
          <cell r="E815">
            <v>2</v>
          </cell>
          <cell r="F815" t="str">
            <v>USD</v>
          </cell>
          <cell r="G815">
            <v>6</v>
          </cell>
          <cell r="H815">
            <v>28338</v>
          </cell>
          <cell r="I815">
            <v>5</v>
          </cell>
          <cell r="J815" t="str">
            <v>ГСБ "Амонатбанк"</v>
          </cell>
          <cell r="K815">
            <v>170028</v>
          </cell>
          <cell r="L815">
            <v>28338</v>
          </cell>
          <cell r="M815">
            <v>1</v>
          </cell>
          <cell r="N815">
            <v>170028</v>
          </cell>
        </row>
        <row r="816">
          <cell r="A816">
            <v>2003</v>
          </cell>
          <cell r="B816">
            <v>5</v>
          </cell>
          <cell r="C816">
            <v>2</v>
          </cell>
          <cell r="D816">
            <v>180</v>
          </cell>
          <cell r="E816">
            <v>2</v>
          </cell>
          <cell r="F816" t="str">
            <v>USD</v>
          </cell>
          <cell r="G816">
            <v>7</v>
          </cell>
          <cell r="H816">
            <v>504</v>
          </cell>
          <cell r="I816">
            <v>2</v>
          </cell>
          <cell r="J816" t="str">
            <v>ГСБ "Амонатбанк"</v>
          </cell>
          <cell r="K816">
            <v>3528</v>
          </cell>
          <cell r="L816">
            <v>504</v>
          </cell>
          <cell r="M816">
            <v>1</v>
          </cell>
          <cell r="N816">
            <v>3528</v>
          </cell>
        </row>
        <row r="817">
          <cell r="A817">
            <v>2003</v>
          </cell>
          <cell r="B817">
            <v>5</v>
          </cell>
          <cell r="C817">
            <v>2</v>
          </cell>
          <cell r="D817">
            <v>360</v>
          </cell>
          <cell r="E817">
            <v>2</v>
          </cell>
          <cell r="F817" t="str">
            <v>USD</v>
          </cell>
          <cell r="G817">
            <v>12</v>
          </cell>
          <cell r="H817">
            <v>322213</v>
          </cell>
          <cell r="I817">
            <v>28</v>
          </cell>
          <cell r="J817" t="str">
            <v>ГСБ "Амонатбанк"</v>
          </cell>
          <cell r="K817">
            <v>3866556</v>
          </cell>
          <cell r="L817">
            <v>322213</v>
          </cell>
          <cell r="M817">
            <v>1</v>
          </cell>
          <cell r="N817">
            <v>3866556</v>
          </cell>
        </row>
        <row r="818">
          <cell r="A818">
            <v>2003</v>
          </cell>
          <cell r="B818">
            <v>5</v>
          </cell>
          <cell r="C818">
            <v>1</v>
          </cell>
          <cell r="D818">
            <v>0</v>
          </cell>
          <cell r="E818">
            <v>1</v>
          </cell>
          <cell r="F818" t="str">
            <v>EURO</v>
          </cell>
          <cell r="G818">
            <v>0</v>
          </cell>
          <cell r="H818">
            <v>19</v>
          </cell>
          <cell r="I818">
            <v>3</v>
          </cell>
          <cell r="J818" t="str">
            <v>ГСБ "Амонатбанк"</v>
          </cell>
          <cell r="K818">
            <v>0</v>
          </cell>
          <cell r="L818">
            <v>19.169567393238435</v>
          </cell>
          <cell r="M818">
            <v>1.008924599644128</v>
          </cell>
          <cell r="N818">
            <v>0</v>
          </cell>
        </row>
        <row r="819">
          <cell r="A819">
            <v>2003</v>
          </cell>
          <cell r="B819">
            <v>5</v>
          </cell>
          <cell r="C819">
            <v>2</v>
          </cell>
          <cell r="D819">
            <v>1080</v>
          </cell>
          <cell r="E819">
            <v>2</v>
          </cell>
          <cell r="F819" t="str">
            <v>USD</v>
          </cell>
          <cell r="G819">
            <v>15</v>
          </cell>
          <cell r="H819">
            <v>59941</v>
          </cell>
          <cell r="I819">
            <v>24</v>
          </cell>
          <cell r="J819" t="str">
            <v>ГСБ "Амонатбанк"</v>
          </cell>
          <cell r="K819">
            <v>899115</v>
          </cell>
          <cell r="L819">
            <v>59941</v>
          </cell>
          <cell r="M819">
            <v>1</v>
          </cell>
          <cell r="N819">
            <v>899115</v>
          </cell>
        </row>
        <row r="820">
          <cell r="A820">
            <v>2003</v>
          </cell>
          <cell r="B820">
            <v>5</v>
          </cell>
          <cell r="C820">
            <v>3</v>
          </cell>
          <cell r="D820">
            <v>360</v>
          </cell>
          <cell r="E820">
            <v>2</v>
          </cell>
          <cell r="F820" t="str">
            <v>USD</v>
          </cell>
          <cell r="G820">
            <v>2</v>
          </cell>
          <cell r="H820">
            <v>309000</v>
          </cell>
          <cell r="I820">
            <v>2</v>
          </cell>
          <cell r="J820" t="str">
            <v>ГСБ "Амонатбанк"</v>
          </cell>
          <cell r="K820">
            <v>618000</v>
          </cell>
          <cell r="L820">
            <v>309000</v>
          </cell>
          <cell r="M820">
            <v>1</v>
          </cell>
          <cell r="N820">
            <v>618000</v>
          </cell>
        </row>
        <row r="821">
          <cell r="A821">
            <v>2003</v>
          </cell>
          <cell r="B821">
            <v>5</v>
          </cell>
          <cell r="C821">
            <v>1</v>
          </cell>
          <cell r="D821">
            <v>0</v>
          </cell>
          <cell r="E821">
            <v>1</v>
          </cell>
          <cell r="F821" t="str">
            <v>TJS</v>
          </cell>
          <cell r="G821">
            <v>0</v>
          </cell>
          <cell r="H821">
            <v>167710</v>
          </cell>
          <cell r="I821">
            <v>16</v>
          </cell>
          <cell r="J821" t="str">
            <v>КТОО "Фонон"</v>
          </cell>
          <cell r="K821">
            <v>0</v>
          </cell>
          <cell r="L821">
            <v>167710</v>
          </cell>
          <cell r="M821">
            <v>1</v>
          </cell>
          <cell r="N821">
            <v>0</v>
          </cell>
        </row>
        <row r="822">
          <cell r="A822">
            <v>2003</v>
          </cell>
          <cell r="B822">
            <v>5</v>
          </cell>
          <cell r="C822">
            <v>1</v>
          </cell>
          <cell r="D822">
            <v>0</v>
          </cell>
          <cell r="E822">
            <v>2</v>
          </cell>
          <cell r="F822" t="str">
            <v>TJS</v>
          </cell>
          <cell r="G822">
            <v>0</v>
          </cell>
          <cell r="H822">
            <v>194</v>
          </cell>
          <cell r="I822">
            <v>1</v>
          </cell>
          <cell r="J822" t="str">
            <v>КТОО "Фонон"</v>
          </cell>
          <cell r="K822">
            <v>0</v>
          </cell>
          <cell r="L822">
            <v>194</v>
          </cell>
          <cell r="M822">
            <v>1</v>
          </cell>
          <cell r="N822">
            <v>0</v>
          </cell>
        </row>
        <row r="823">
          <cell r="A823">
            <v>2003</v>
          </cell>
          <cell r="B823">
            <v>5</v>
          </cell>
          <cell r="C823">
            <v>1</v>
          </cell>
          <cell r="D823">
            <v>0</v>
          </cell>
          <cell r="E823">
            <v>1</v>
          </cell>
          <cell r="F823" t="str">
            <v>TJS</v>
          </cell>
          <cell r="G823">
            <v>0</v>
          </cell>
          <cell r="H823">
            <v>518882</v>
          </cell>
          <cell r="I823">
            <v>16</v>
          </cell>
          <cell r="J823" t="str">
            <v>СТК "Центрально-Азиатский банк"</v>
          </cell>
          <cell r="K823">
            <v>0</v>
          </cell>
          <cell r="L823">
            <v>518882</v>
          </cell>
          <cell r="M823">
            <v>1</v>
          </cell>
          <cell r="N823">
            <v>0</v>
          </cell>
        </row>
        <row r="824">
          <cell r="A824">
            <v>2003</v>
          </cell>
          <cell r="B824">
            <v>5</v>
          </cell>
          <cell r="C824">
            <v>3</v>
          </cell>
          <cell r="D824">
            <v>0</v>
          </cell>
          <cell r="E824">
            <v>2</v>
          </cell>
          <cell r="F824" t="str">
            <v>TJS</v>
          </cell>
          <cell r="G824">
            <v>0</v>
          </cell>
          <cell r="H824">
            <v>18000</v>
          </cell>
          <cell r="I824">
            <v>1</v>
          </cell>
          <cell r="J824" t="str">
            <v>СТК "Центрально-Азиатский банк"</v>
          </cell>
          <cell r="K824">
            <v>0</v>
          </cell>
          <cell r="L824">
            <v>18000</v>
          </cell>
          <cell r="M824">
            <v>1</v>
          </cell>
          <cell r="N824">
            <v>0</v>
          </cell>
        </row>
        <row r="825">
          <cell r="A825">
            <v>2003</v>
          </cell>
          <cell r="B825">
            <v>5</v>
          </cell>
          <cell r="C825">
            <v>2</v>
          </cell>
          <cell r="D825">
            <v>0</v>
          </cell>
          <cell r="E825">
            <v>1</v>
          </cell>
          <cell r="F825" t="str">
            <v>TJS</v>
          </cell>
          <cell r="G825">
            <v>6</v>
          </cell>
          <cell r="H825">
            <v>1323</v>
          </cell>
          <cell r="I825">
            <v>1</v>
          </cell>
          <cell r="J825" t="str">
            <v>СТК "Центрально-Азиатский банк"</v>
          </cell>
          <cell r="K825">
            <v>7938</v>
          </cell>
          <cell r="L825">
            <v>1323</v>
          </cell>
          <cell r="M825">
            <v>1</v>
          </cell>
          <cell r="N825">
            <v>7938</v>
          </cell>
        </row>
        <row r="826">
          <cell r="A826">
            <v>2003</v>
          </cell>
          <cell r="B826">
            <v>5</v>
          </cell>
          <cell r="C826">
            <v>1</v>
          </cell>
          <cell r="D826">
            <v>0</v>
          </cell>
          <cell r="E826">
            <v>1</v>
          </cell>
          <cell r="F826" t="str">
            <v>USD</v>
          </cell>
          <cell r="G826">
            <v>0</v>
          </cell>
          <cell r="H826">
            <v>214245</v>
          </cell>
          <cell r="I826">
            <v>2</v>
          </cell>
          <cell r="J826" t="str">
            <v>СТК "Центрально-Азиатский банк"</v>
          </cell>
          <cell r="K826">
            <v>0</v>
          </cell>
          <cell r="L826">
            <v>214245</v>
          </cell>
          <cell r="M826">
            <v>1</v>
          </cell>
          <cell r="N826">
            <v>0</v>
          </cell>
        </row>
        <row r="827">
          <cell r="A827">
            <v>2003</v>
          </cell>
          <cell r="B827">
            <v>5</v>
          </cell>
          <cell r="C827">
            <v>2</v>
          </cell>
          <cell r="D827">
            <v>360</v>
          </cell>
          <cell r="E827">
            <v>2</v>
          </cell>
          <cell r="F827" t="str">
            <v>USD</v>
          </cell>
          <cell r="G827">
            <v>20</v>
          </cell>
          <cell r="H827">
            <v>627</v>
          </cell>
          <cell r="I827">
            <v>2</v>
          </cell>
          <cell r="J827" t="str">
            <v>СТК "Центрально-Азиатский банк"</v>
          </cell>
          <cell r="K827">
            <v>12540</v>
          </cell>
          <cell r="L827">
            <v>627</v>
          </cell>
          <cell r="M827">
            <v>1</v>
          </cell>
          <cell r="N827">
            <v>12540</v>
          </cell>
        </row>
        <row r="828">
          <cell r="A828">
            <v>2003</v>
          </cell>
          <cell r="B828">
            <v>5</v>
          </cell>
          <cell r="C828">
            <v>2</v>
          </cell>
          <cell r="D828">
            <v>360</v>
          </cell>
          <cell r="E828">
            <v>2</v>
          </cell>
          <cell r="F828" t="str">
            <v>USD</v>
          </cell>
          <cell r="G828">
            <v>18</v>
          </cell>
          <cell r="H828">
            <v>28177</v>
          </cell>
          <cell r="I828">
            <v>1</v>
          </cell>
          <cell r="J828" t="str">
            <v>СТК "Центрально-Азиатский банк"</v>
          </cell>
          <cell r="K828">
            <v>507186</v>
          </cell>
          <cell r="L828">
            <v>28177</v>
          </cell>
          <cell r="M828">
            <v>1</v>
          </cell>
          <cell r="N828">
            <v>507186</v>
          </cell>
        </row>
        <row r="829">
          <cell r="A829">
            <v>2003</v>
          </cell>
          <cell r="B829">
            <v>5</v>
          </cell>
          <cell r="C829">
            <v>1</v>
          </cell>
          <cell r="D829">
            <v>0</v>
          </cell>
          <cell r="E829">
            <v>1</v>
          </cell>
          <cell r="F829" t="str">
            <v>TJS</v>
          </cell>
          <cell r="G829">
            <v>0</v>
          </cell>
          <cell r="H829">
            <v>30688881</v>
          </cell>
          <cell r="I829">
            <v>56</v>
          </cell>
          <cell r="J829" t="str">
            <v>ТАК ПБРР "Таджпромбанк"</v>
          </cell>
          <cell r="K829">
            <v>0</v>
          </cell>
          <cell r="L829">
            <v>30688881</v>
          </cell>
          <cell r="M829">
            <v>1</v>
          </cell>
          <cell r="N829">
            <v>0</v>
          </cell>
        </row>
        <row r="830">
          <cell r="A830">
            <v>2003</v>
          </cell>
          <cell r="B830">
            <v>5</v>
          </cell>
          <cell r="C830">
            <v>1</v>
          </cell>
          <cell r="D830">
            <v>0</v>
          </cell>
          <cell r="E830">
            <v>2</v>
          </cell>
          <cell r="F830" t="str">
            <v>TJS</v>
          </cell>
          <cell r="G830">
            <v>0</v>
          </cell>
          <cell r="H830">
            <v>672943</v>
          </cell>
          <cell r="I830">
            <v>8</v>
          </cell>
          <cell r="J830" t="str">
            <v>ТАК ПБРР "Таджпромбанк"</v>
          </cell>
          <cell r="K830">
            <v>0</v>
          </cell>
          <cell r="L830">
            <v>672943</v>
          </cell>
          <cell r="M830">
            <v>1</v>
          </cell>
          <cell r="N830">
            <v>0</v>
          </cell>
        </row>
        <row r="831">
          <cell r="A831">
            <v>2003</v>
          </cell>
          <cell r="B831">
            <v>5</v>
          </cell>
          <cell r="C831">
            <v>3</v>
          </cell>
          <cell r="D831">
            <v>0</v>
          </cell>
          <cell r="E831">
            <v>1</v>
          </cell>
          <cell r="F831" t="str">
            <v>TJS</v>
          </cell>
          <cell r="G831">
            <v>21</v>
          </cell>
          <cell r="H831">
            <v>1535878</v>
          </cell>
          <cell r="I831">
            <v>7</v>
          </cell>
          <cell r="J831" t="str">
            <v>ТАК ПБРР "Таджпромбанк"</v>
          </cell>
          <cell r="K831">
            <v>32253438</v>
          </cell>
          <cell r="L831">
            <v>1535878</v>
          </cell>
          <cell r="M831">
            <v>1</v>
          </cell>
          <cell r="N831">
            <v>32253438</v>
          </cell>
        </row>
        <row r="832">
          <cell r="A832">
            <v>2003</v>
          </cell>
          <cell r="B832">
            <v>5</v>
          </cell>
          <cell r="C832">
            <v>3</v>
          </cell>
          <cell r="D832">
            <v>0</v>
          </cell>
          <cell r="E832">
            <v>2</v>
          </cell>
          <cell r="F832" t="str">
            <v>TJS</v>
          </cell>
          <cell r="G832">
            <v>21</v>
          </cell>
          <cell r="H832">
            <v>669816</v>
          </cell>
          <cell r="I832">
            <v>26</v>
          </cell>
          <cell r="J832" t="str">
            <v>ТАК ПБРР "Таджпромбанк"</v>
          </cell>
          <cell r="K832">
            <v>14066136</v>
          </cell>
          <cell r="L832">
            <v>669816</v>
          </cell>
          <cell r="M832">
            <v>1</v>
          </cell>
          <cell r="N832">
            <v>14066136</v>
          </cell>
        </row>
        <row r="833">
          <cell r="A833">
            <v>2003</v>
          </cell>
          <cell r="B833">
            <v>5</v>
          </cell>
          <cell r="C833">
            <v>3</v>
          </cell>
          <cell r="D833">
            <v>0</v>
          </cell>
          <cell r="E833">
            <v>2</v>
          </cell>
          <cell r="F833" t="str">
            <v>TJS</v>
          </cell>
          <cell r="G833">
            <v>8</v>
          </cell>
          <cell r="H833">
            <v>14000</v>
          </cell>
          <cell r="I833">
            <v>1</v>
          </cell>
          <cell r="J833" t="str">
            <v>ТАК ПБРР "Таджпромбанк"</v>
          </cell>
          <cell r="K833">
            <v>112000</v>
          </cell>
          <cell r="L833">
            <v>14000</v>
          </cell>
          <cell r="M833">
            <v>1</v>
          </cell>
          <cell r="N833">
            <v>112000</v>
          </cell>
        </row>
        <row r="834">
          <cell r="A834">
            <v>2003</v>
          </cell>
          <cell r="B834">
            <v>5</v>
          </cell>
          <cell r="C834">
            <v>3</v>
          </cell>
          <cell r="D834">
            <v>720</v>
          </cell>
          <cell r="E834">
            <v>2</v>
          </cell>
          <cell r="F834" t="str">
            <v>TJS</v>
          </cell>
          <cell r="G834">
            <v>20</v>
          </cell>
          <cell r="H834">
            <v>47</v>
          </cell>
          <cell r="I834">
            <v>1</v>
          </cell>
          <cell r="J834" t="str">
            <v>ТАК ПБРР "Таджпромбанк"</v>
          </cell>
          <cell r="K834">
            <v>940</v>
          </cell>
          <cell r="L834">
            <v>47</v>
          </cell>
          <cell r="M834">
            <v>1</v>
          </cell>
          <cell r="N834">
            <v>940</v>
          </cell>
        </row>
        <row r="835">
          <cell r="A835">
            <v>2003</v>
          </cell>
          <cell r="B835">
            <v>5</v>
          </cell>
          <cell r="C835">
            <v>3</v>
          </cell>
          <cell r="D835">
            <v>0</v>
          </cell>
          <cell r="E835">
            <v>2</v>
          </cell>
          <cell r="F835" t="str">
            <v>TJS</v>
          </cell>
          <cell r="G835">
            <v>2</v>
          </cell>
          <cell r="H835">
            <v>10000</v>
          </cell>
          <cell r="I835">
            <v>1</v>
          </cell>
          <cell r="J835" t="str">
            <v>ТАК ПБРР "Таджпромбанк"</v>
          </cell>
          <cell r="K835">
            <v>20000</v>
          </cell>
          <cell r="L835">
            <v>10000</v>
          </cell>
          <cell r="M835">
            <v>1</v>
          </cell>
          <cell r="N835">
            <v>20000</v>
          </cell>
        </row>
        <row r="836">
          <cell r="A836">
            <v>2003</v>
          </cell>
          <cell r="B836">
            <v>5</v>
          </cell>
          <cell r="C836">
            <v>1</v>
          </cell>
          <cell r="D836">
            <v>0</v>
          </cell>
          <cell r="E836">
            <v>1</v>
          </cell>
          <cell r="F836" t="str">
            <v>USD</v>
          </cell>
          <cell r="G836">
            <v>0</v>
          </cell>
          <cell r="H836">
            <v>36307591</v>
          </cell>
          <cell r="I836">
            <v>13</v>
          </cell>
          <cell r="J836" t="str">
            <v>ТАК ПБРР "Таджпромбанк"</v>
          </cell>
          <cell r="K836">
            <v>0</v>
          </cell>
          <cell r="L836">
            <v>36307591</v>
          </cell>
          <cell r="M836">
            <v>1</v>
          </cell>
          <cell r="N836">
            <v>0</v>
          </cell>
        </row>
        <row r="837">
          <cell r="A837">
            <v>2003</v>
          </cell>
          <cell r="B837">
            <v>5</v>
          </cell>
          <cell r="C837">
            <v>2</v>
          </cell>
          <cell r="D837">
            <v>90</v>
          </cell>
          <cell r="E837">
            <v>1</v>
          </cell>
          <cell r="F837" t="str">
            <v>USD</v>
          </cell>
          <cell r="G837">
            <v>4</v>
          </cell>
          <cell r="H837">
            <v>250732</v>
          </cell>
          <cell r="I837">
            <v>1</v>
          </cell>
          <cell r="J837" t="str">
            <v>ТАК ПБРР "Таджпромбанк"</v>
          </cell>
          <cell r="K837">
            <v>1002928</v>
          </cell>
          <cell r="L837">
            <v>250732</v>
          </cell>
          <cell r="M837">
            <v>1</v>
          </cell>
          <cell r="N837">
            <v>1002928</v>
          </cell>
        </row>
        <row r="838">
          <cell r="A838">
            <v>2003</v>
          </cell>
          <cell r="B838">
            <v>5</v>
          </cell>
          <cell r="C838">
            <v>1</v>
          </cell>
          <cell r="D838">
            <v>0</v>
          </cell>
          <cell r="E838">
            <v>2</v>
          </cell>
          <cell r="F838" t="str">
            <v>USD</v>
          </cell>
          <cell r="G838">
            <v>16</v>
          </cell>
          <cell r="H838">
            <v>6865</v>
          </cell>
          <cell r="I838">
            <v>3</v>
          </cell>
          <cell r="J838" t="str">
            <v>ТАК ПБРР "Таджпромбанк"</v>
          </cell>
          <cell r="K838">
            <v>109840</v>
          </cell>
          <cell r="L838">
            <v>6865</v>
          </cell>
          <cell r="M838">
            <v>1</v>
          </cell>
          <cell r="N838">
            <v>109840</v>
          </cell>
        </row>
        <row r="839">
          <cell r="A839">
            <v>2003</v>
          </cell>
          <cell r="B839">
            <v>5</v>
          </cell>
          <cell r="C839">
            <v>1</v>
          </cell>
          <cell r="D839">
            <v>0</v>
          </cell>
          <cell r="E839">
            <v>2</v>
          </cell>
          <cell r="F839" t="str">
            <v>USD</v>
          </cell>
          <cell r="G839">
            <v>0</v>
          </cell>
          <cell r="H839">
            <v>362364</v>
          </cell>
          <cell r="I839">
            <v>8</v>
          </cell>
          <cell r="J839" t="str">
            <v>ТАК ПБРР "Таджпромбанк"</v>
          </cell>
          <cell r="K839">
            <v>0</v>
          </cell>
          <cell r="L839">
            <v>362364</v>
          </cell>
          <cell r="M839">
            <v>1</v>
          </cell>
          <cell r="N839">
            <v>0</v>
          </cell>
        </row>
        <row r="840">
          <cell r="A840">
            <v>2003</v>
          </cell>
          <cell r="B840">
            <v>5</v>
          </cell>
          <cell r="C840">
            <v>2</v>
          </cell>
          <cell r="D840">
            <v>360</v>
          </cell>
          <cell r="E840">
            <v>2</v>
          </cell>
          <cell r="F840" t="str">
            <v>USD</v>
          </cell>
          <cell r="G840">
            <v>14</v>
          </cell>
          <cell r="H840">
            <v>2905</v>
          </cell>
          <cell r="I840">
            <v>1</v>
          </cell>
          <cell r="J840" t="str">
            <v>ТАК ПБРР "Таджпромбанк"</v>
          </cell>
          <cell r="K840">
            <v>40670</v>
          </cell>
          <cell r="L840">
            <v>2905</v>
          </cell>
          <cell r="M840">
            <v>1</v>
          </cell>
          <cell r="N840">
            <v>40670</v>
          </cell>
        </row>
        <row r="841">
          <cell r="A841">
            <v>2003</v>
          </cell>
          <cell r="B841">
            <v>5</v>
          </cell>
          <cell r="C841">
            <v>2</v>
          </cell>
          <cell r="D841">
            <v>360</v>
          </cell>
          <cell r="E841">
            <v>2</v>
          </cell>
          <cell r="F841" t="str">
            <v>USD</v>
          </cell>
          <cell r="G841">
            <v>16</v>
          </cell>
          <cell r="H841">
            <v>49440</v>
          </cell>
          <cell r="I841">
            <v>2</v>
          </cell>
          <cell r="J841" t="str">
            <v>ТАК ПБРР "Таджпромбанк"</v>
          </cell>
          <cell r="K841">
            <v>791040</v>
          </cell>
          <cell r="L841">
            <v>49440</v>
          </cell>
          <cell r="M841">
            <v>1</v>
          </cell>
          <cell r="N841">
            <v>791040</v>
          </cell>
        </row>
        <row r="842">
          <cell r="A842">
            <v>2003</v>
          </cell>
          <cell r="B842">
            <v>5</v>
          </cell>
          <cell r="C842">
            <v>1</v>
          </cell>
          <cell r="D842">
            <v>0</v>
          </cell>
          <cell r="E842">
            <v>1</v>
          </cell>
          <cell r="F842" t="str">
            <v>TJS</v>
          </cell>
          <cell r="G842">
            <v>0</v>
          </cell>
          <cell r="H842">
            <v>46487996</v>
          </cell>
          <cell r="I842">
            <v>6550</v>
          </cell>
          <cell r="J842" t="str">
            <v>ТАК ПСБ "Ориёнбанк"</v>
          </cell>
          <cell r="K842">
            <v>0</v>
          </cell>
          <cell r="L842">
            <v>46487996</v>
          </cell>
          <cell r="M842">
            <v>1</v>
          </cell>
          <cell r="N842">
            <v>0</v>
          </cell>
        </row>
        <row r="843">
          <cell r="A843">
            <v>2003</v>
          </cell>
          <cell r="B843">
            <v>5</v>
          </cell>
          <cell r="C843">
            <v>1</v>
          </cell>
          <cell r="D843">
            <v>0</v>
          </cell>
          <cell r="E843">
            <v>1</v>
          </cell>
          <cell r="F843" t="str">
            <v>TJS</v>
          </cell>
          <cell r="G843">
            <v>0.5</v>
          </cell>
          <cell r="H843">
            <v>33232874</v>
          </cell>
          <cell r="I843">
            <v>1758</v>
          </cell>
          <cell r="J843" t="str">
            <v>ТАК ПСБ "Ориёнбанк"</v>
          </cell>
          <cell r="K843">
            <v>16616437</v>
          </cell>
          <cell r="L843">
            <v>33232874</v>
          </cell>
          <cell r="M843">
            <v>1</v>
          </cell>
          <cell r="N843">
            <v>16616437</v>
          </cell>
        </row>
        <row r="844">
          <cell r="A844">
            <v>2003</v>
          </cell>
          <cell r="B844">
            <v>5</v>
          </cell>
          <cell r="C844">
            <v>2</v>
          </cell>
          <cell r="D844">
            <v>180</v>
          </cell>
          <cell r="E844">
            <v>1</v>
          </cell>
          <cell r="F844" t="str">
            <v>TJS</v>
          </cell>
          <cell r="G844">
            <v>16</v>
          </cell>
          <cell r="H844">
            <v>300000</v>
          </cell>
          <cell r="I844">
            <v>1</v>
          </cell>
          <cell r="J844" t="str">
            <v>ТАК ПСБ "Ориёнбанк"</v>
          </cell>
          <cell r="K844">
            <v>4800000</v>
          </cell>
          <cell r="L844">
            <v>300000</v>
          </cell>
          <cell r="M844">
            <v>1</v>
          </cell>
          <cell r="N844">
            <v>4800000</v>
          </cell>
        </row>
        <row r="845">
          <cell r="A845">
            <v>2003</v>
          </cell>
          <cell r="B845">
            <v>5</v>
          </cell>
          <cell r="C845">
            <v>2</v>
          </cell>
          <cell r="D845">
            <v>240</v>
          </cell>
          <cell r="E845">
            <v>1</v>
          </cell>
          <cell r="F845" t="str">
            <v>TJS</v>
          </cell>
          <cell r="G845">
            <v>20</v>
          </cell>
          <cell r="H845">
            <v>14000</v>
          </cell>
          <cell r="I845">
            <v>1</v>
          </cell>
          <cell r="J845" t="str">
            <v>ТАК ПСБ "Ориёнбанк"</v>
          </cell>
          <cell r="K845">
            <v>280000</v>
          </cell>
          <cell r="L845">
            <v>14000</v>
          </cell>
          <cell r="M845">
            <v>1</v>
          </cell>
          <cell r="N845">
            <v>280000</v>
          </cell>
        </row>
        <row r="846">
          <cell r="A846">
            <v>2003</v>
          </cell>
          <cell r="B846">
            <v>5</v>
          </cell>
          <cell r="C846">
            <v>2</v>
          </cell>
          <cell r="D846">
            <v>360</v>
          </cell>
          <cell r="E846">
            <v>1</v>
          </cell>
          <cell r="F846" t="str">
            <v>TJS</v>
          </cell>
          <cell r="G846">
            <v>12</v>
          </cell>
          <cell r="H846">
            <v>5000</v>
          </cell>
          <cell r="I846">
            <v>1</v>
          </cell>
          <cell r="J846" t="str">
            <v>ТАК ПСБ "Ориёнбанк"</v>
          </cell>
          <cell r="K846">
            <v>60000</v>
          </cell>
          <cell r="L846">
            <v>5000</v>
          </cell>
          <cell r="M846">
            <v>1</v>
          </cell>
          <cell r="N846">
            <v>60000</v>
          </cell>
        </row>
        <row r="847">
          <cell r="A847">
            <v>2003</v>
          </cell>
          <cell r="B847">
            <v>5</v>
          </cell>
          <cell r="C847">
            <v>2</v>
          </cell>
          <cell r="D847">
            <v>180</v>
          </cell>
          <cell r="E847">
            <v>2</v>
          </cell>
          <cell r="F847" t="str">
            <v>TJS</v>
          </cell>
          <cell r="G847">
            <v>15</v>
          </cell>
          <cell r="H847">
            <v>3000</v>
          </cell>
          <cell r="I847">
            <v>1</v>
          </cell>
          <cell r="J847" t="str">
            <v>ТАК ПСБ "Ориёнбанк"</v>
          </cell>
          <cell r="K847">
            <v>45000</v>
          </cell>
          <cell r="L847">
            <v>3000</v>
          </cell>
          <cell r="M847">
            <v>1</v>
          </cell>
          <cell r="N847">
            <v>45000</v>
          </cell>
        </row>
        <row r="848">
          <cell r="A848">
            <v>2003</v>
          </cell>
          <cell r="B848">
            <v>5</v>
          </cell>
          <cell r="C848">
            <v>2</v>
          </cell>
          <cell r="D848">
            <v>210</v>
          </cell>
          <cell r="E848">
            <v>2</v>
          </cell>
          <cell r="F848" t="str">
            <v>TJS</v>
          </cell>
          <cell r="G848">
            <v>20</v>
          </cell>
          <cell r="H848">
            <v>500</v>
          </cell>
          <cell r="I848">
            <v>1</v>
          </cell>
          <cell r="J848" t="str">
            <v>ТАК ПСБ "Ориёнбанк"</v>
          </cell>
          <cell r="K848">
            <v>10000</v>
          </cell>
          <cell r="L848">
            <v>500</v>
          </cell>
          <cell r="M848">
            <v>1</v>
          </cell>
          <cell r="N848">
            <v>10000</v>
          </cell>
        </row>
        <row r="849">
          <cell r="A849">
            <v>2003</v>
          </cell>
          <cell r="B849">
            <v>5</v>
          </cell>
          <cell r="C849">
            <v>2</v>
          </cell>
          <cell r="D849">
            <v>360</v>
          </cell>
          <cell r="E849">
            <v>2</v>
          </cell>
          <cell r="F849" t="str">
            <v>TJS</v>
          </cell>
          <cell r="G849">
            <v>15</v>
          </cell>
          <cell r="H849">
            <v>5000</v>
          </cell>
          <cell r="I849">
            <v>1</v>
          </cell>
          <cell r="J849" t="str">
            <v>ТАК ПСБ "Ориёнбанк"</v>
          </cell>
          <cell r="K849">
            <v>75000</v>
          </cell>
          <cell r="L849">
            <v>5000</v>
          </cell>
          <cell r="M849">
            <v>1</v>
          </cell>
          <cell r="N849">
            <v>75000</v>
          </cell>
        </row>
        <row r="850">
          <cell r="A850">
            <v>2003</v>
          </cell>
          <cell r="B850">
            <v>5</v>
          </cell>
          <cell r="C850">
            <v>2</v>
          </cell>
          <cell r="D850">
            <v>360</v>
          </cell>
          <cell r="E850">
            <v>2</v>
          </cell>
          <cell r="F850" t="str">
            <v>TJS</v>
          </cell>
          <cell r="G850">
            <v>20</v>
          </cell>
          <cell r="H850">
            <v>8882</v>
          </cell>
          <cell r="I850">
            <v>19</v>
          </cell>
          <cell r="J850" t="str">
            <v>ТАК ПСБ "Ориёнбанк"</v>
          </cell>
          <cell r="K850">
            <v>177640</v>
          </cell>
          <cell r="L850">
            <v>8882</v>
          </cell>
          <cell r="M850">
            <v>1</v>
          </cell>
          <cell r="N850">
            <v>177640</v>
          </cell>
        </row>
        <row r="851">
          <cell r="A851">
            <v>2003</v>
          </cell>
          <cell r="B851">
            <v>5</v>
          </cell>
          <cell r="C851">
            <v>2</v>
          </cell>
          <cell r="D851">
            <v>390</v>
          </cell>
          <cell r="E851">
            <v>2</v>
          </cell>
          <cell r="F851" t="str">
            <v>TJS</v>
          </cell>
          <cell r="G851">
            <v>20</v>
          </cell>
          <cell r="H851">
            <v>892</v>
          </cell>
          <cell r="I851">
            <v>1</v>
          </cell>
          <cell r="J851" t="str">
            <v>ТАК ПСБ "Ориёнбанк"</v>
          </cell>
          <cell r="K851">
            <v>17840</v>
          </cell>
          <cell r="L851">
            <v>892</v>
          </cell>
          <cell r="M851">
            <v>1</v>
          </cell>
          <cell r="N851">
            <v>17840</v>
          </cell>
        </row>
        <row r="852">
          <cell r="A852">
            <v>2003</v>
          </cell>
          <cell r="B852">
            <v>5</v>
          </cell>
          <cell r="C852">
            <v>2</v>
          </cell>
          <cell r="D852">
            <v>390</v>
          </cell>
          <cell r="E852">
            <v>2</v>
          </cell>
          <cell r="F852" t="str">
            <v>TJS</v>
          </cell>
          <cell r="G852">
            <v>25</v>
          </cell>
          <cell r="H852">
            <v>1300</v>
          </cell>
          <cell r="I852">
            <v>1</v>
          </cell>
          <cell r="J852" t="str">
            <v>ТАК ПСБ "Ориёнбанк"</v>
          </cell>
          <cell r="K852">
            <v>32500</v>
          </cell>
          <cell r="L852">
            <v>1300</v>
          </cell>
          <cell r="M852">
            <v>1</v>
          </cell>
          <cell r="N852">
            <v>32500</v>
          </cell>
        </row>
        <row r="853">
          <cell r="A853">
            <v>2003</v>
          </cell>
          <cell r="B853">
            <v>5</v>
          </cell>
          <cell r="C853">
            <v>2</v>
          </cell>
          <cell r="D853">
            <v>390</v>
          </cell>
          <cell r="E853">
            <v>2</v>
          </cell>
          <cell r="F853" t="str">
            <v>TJS</v>
          </cell>
          <cell r="G853">
            <v>30</v>
          </cell>
          <cell r="H853">
            <v>300</v>
          </cell>
          <cell r="I853">
            <v>1</v>
          </cell>
          <cell r="J853" t="str">
            <v>ТАК ПСБ "Ориёнбанк"</v>
          </cell>
          <cell r="K853">
            <v>9000</v>
          </cell>
          <cell r="L853">
            <v>300</v>
          </cell>
          <cell r="M853">
            <v>1</v>
          </cell>
          <cell r="N853">
            <v>9000</v>
          </cell>
        </row>
        <row r="854">
          <cell r="A854">
            <v>2003</v>
          </cell>
          <cell r="B854">
            <v>5</v>
          </cell>
          <cell r="C854">
            <v>2</v>
          </cell>
          <cell r="D854">
            <v>1090</v>
          </cell>
          <cell r="E854">
            <v>2</v>
          </cell>
          <cell r="F854" t="str">
            <v>TJS</v>
          </cell>
          <cell r="G854">
            <v>30</v>
          </cell>
          <cell r="H854">
            <v>10000</v>
          </cell>
          <cell r="I854">
            <v>1</v>
          </cell>
          <cell r="J854" t="str">
            <v>ТАК ПСБ "Ориёнбанк"</v>
          </cell>
          <cell r="K854">
            <v>300000</v>
          </cell>
          <cell r="L854">
            <v>10000</v>
          </cell>
          <cell r="M854">
            <v>1</v>
          </cell>
          <cell r="N854">
            <v>300000</v>
          </cell>
        </row>
        <row r="855">
          <cell r="A855">
            <v>2003</v>
          </cell>
          <cell r="B855">
            <v>5</v>
          </cell>
          <cell r="C855">
            <v>3</v>
          </cell>
          <cell r="D855">
            <v>0</v>
          </cell>
          <cell r="E855">
            <v>2</v>
          </cell>
          <cell r="F855" t="str">
            <v>TJS</v>
          </cell>
          <cell r="G855">
            <v>5</v>
          </cell>
          <cell r="H855">
            <v>1354862</v>
          </cell>
          <cell r="I855">
            <v>558</v>
          </cell>
          <cell r="J855" t="str">
            <v>ТАК ПСБ "Ориёнбанк"</v>
          </cell>
          <cell r="K855">
            <v>6774310</v>
          </cell>
          <cell r="L855">
            <v>1354862</v>
          </cell>
          <cell r="M855">
            <v>1</v>
          </cell>
          <cell r="N855">
            <v>6774310</v>
          </cell>
        </row>
        <row r="856">
          <cell r="A856">
            <v>2003</v>
          </cell>
          <cell r="B856">
            <v>5</v>
          </cell>
          <cell r="C856">
            <v>1</v>
          </cell>
          <cell r="D856">
            <v>0</v>
          </cell>
          <cell r="E856">
            <v>0</v>
          </cell>
          <cell r="F856" t="str">
            <v>USD</v>
          </cell>
          <cell r="G856">
            <v>0</v>
          </cell>
          <cell r="H856">
            <v>421941</v>
          </cell>
          <cell r="I856">
            <v>5</v>
          </cell>
          <cell r="J856" t="str">
            <v>ТАК ПСБ "Ориёнбанк"</v>
          </cell>
          <cell r="K856">
            <v>0</v>
          </cell>
          <cell r="L856">
            <v>421941</v>
          </cell>
          <cell r="M856">
            <v>1</v>
          </cell>
          <cell r="N856">
            <v>0</v>
          </cell>
        </row>
        <row r="857">
          <cell r="A857">
            <v>2003</v>
          </cell>
          <cell r="B857">
            <v>5</v>
          </cell>
          <cell r="C857">
            <v>1</v>
          </cell>
          <cell r="D857">
            <v>0</v>
          </cell>
          <cell r="E857">
            <v>1</v>
          </cell>
          <cell r="F857" t="str">
            <v>USD</v>
          </cell>
          <cell r="G857">
            <v>0</v>
          </cell>
          <cell r="H857">
            <v>26876429</v>
          </cell>
          <cell r="I857">
            <v>330</v>
          </cell>
          <cell r="J857" t="str">
            <v>ТАК ПСБ "Ориёнбанк"</v>
          </cell>
          <cell r="K857">
            <v>0</v>
          </cell>
          <cell r="L857">
            <v>26876429</v>
          </cell>
          <cell r="M857">
            <v>1</v>
          </cell>
          <cell r="N857">
            <v>0</v>
          </cell>
        </row>
        <row r="858">
          <cell r="A858">
            <v>2003</v>
          </cell>
          <cell r="B858">
            <v>5</v>
          </cell>
          <cell r="C858">
            <v>1</v>
          </cell>
          <cell r="D858">
            <v>0</v>
          </cell>
          <cell r="E858">
            <v>2</v>
          </cell>
          <cell r="F858" t="str">
            <v>USD</v>
          </cell>
          <cell r="G858">
            <v>0</v>
          </cell>
          <cell r="H858">
            <v>312829</v>
          </cell>
          <cell r="I858">
            <v>17</v>
          </cell>
          <cell r="J858" t="str">
            <v>ТАК ПСБ "Ориёнбанк"</v>
          </cell>
          <cell r="K858">
            <v>0</v>
          </cell>
          <cell r="L858">
            <v>312829</v>
          </cell>
          <cell r="M858">
            <v>1</v>
          </cell>
          <cell r="N858">
            <v>0</v>
          </cell>
        </row>
        <row r="859">
          <cell r="A859">
            <v>2003</v>
          </cell>
          <cell r="B859">
            <v>5</v>
          </cell>
          <cell r="C859">
            <v>3</v>
          </cell>
          <cell r="D859">
            <v>0</v>
          </cell>
          <cell r="E859">
            <v>2</v>
          </cell>
          <cell r="F859" t="str">
            <v>USD</v>
          </cell>
          <cell r="G859">
            <v>0</v>
          </cell>
          <cell r="H859">
            <v>62141</v>
          </cell>
          <cell r="I859">
            <v>302</v>
          </cell>
          <cell r="J859" t="str">
            <v>ТАК ПСБ "Ориёнбанк"</v>
          </cell>
          <cell r="K859">
            <v>0</v>
          </cell>
          <cell r="L859">
            <v>62141</v>
          </cell>
          <cell r="M859">
            <v>1</v>
          </cell>
          <cell r="N859">
            <v>0</v>
          </cell>
        </row>
        <row r="860">
          <cell r="A860">
            <v>2003</v>
          </cell>
          <cell r="B860">
            <v>5</v>
          </cell>
          <cell r="C860">
            <v>2</v>
          </cell>
          <cell r="D860">
            <v>37</v>
          </cell>
          <cell r="E860">
            <v>2</v>
          </cell>
          <cell r="F860" t="str">
            <v>USD</v>
          </cell>
          <cell r="G860">
            <v>5</v>
          </cell>
          <cell r="H860">
            <v>21321</v>
          </cell>
          <cell r="I860">
            <v>2</v>
          </cell>
          <cell r="J860" t="str">
            <v>ТАК ПСБ "Ориёнбанк"</v>
          </cell>
          <cell r="K860">
            <v>106605</v>
          </cell>
          <cell r="L860">
            <v>21321</v>
          </cell>
          <cell r="M860">
            <v>1</v>
          </cell>
          <cell r="N860">
            <v>106605</v>
          </cell>
        </row>
        <row r="861">
          <cell r="A861">
            <v>2003</v>
          </cell>
          <cell r="B861">
            <v>5</v>
          </cell>
          <cell r="C861">
            <v>2</v>
          </cell>
          <cell r="D861">
            <v>90</v>
          </cell>
          <cell r="E861">
            <v>2</v>
          </cell>
          <cell r="F861" t="str">
            <v>USD</v>
          </cell>
          <cell r="G861">
            <v>5</v>
          </cell>
          <cell r="H861">
            <v>1545</v>
          </cell>
          <cell r="I861">
            <v>1</v>
          </cell>
          <cell r="J861" t="str">
            <v>ТАК ПСБ "Ориёнбанк"</v>
          </cell>
          <cell r="K861">
            <v>7725</v>
          </cell>
          <cell r="L861">
            <v>1545</v>
          </cell>
          <cell r="M861">
            <v>1</v>
          </cell>
          <cell r="N861">
            <v>7725</v>
          </cell>
        </row>
        <row r="862">
          <cell r="A862">
            <v>2003</v>
          </cell>
          <cell r="B862">
            <v>5</v>
          </cell>
          <cell r="C862">
            <v>2</v>
          </cell>
          <cell r="D862">
            <v>180</v>
          </cell>
          <cell r="E862">
            <v>2</v>
          </cell>
          <cell r="F862" t="str">
            <v>USD</v>
          </cell>
          <cell r="G862">
            <v>8</v>
          </cell>
          <cell r="H862">
            <v>9270</v>
          </cell>
          <cell r="I862">
            <v>1</v>
          </cell>
          <cell r="J862" t="str">
            <v>ТАК ПСБ "Ориёнбанк"</v>
          </cell>
          <cell r="K862">
            <v>74160</v>
          </cell>
          <cell r="L862">
            <v>9270</v>
          </cell>
          <cell r="M862">
            <v>1</v>
          </cell>
          <cell r="N862">
            <v>74160</v>
          </cell>
        </row>
        <row r="863">
          <cell r="A863">
            <v>2003</v>
          </cell>
          <cell r="B863">
            <v>5</v>
          </cell>
          <cell r="C863">
            <v>2</v>
          </cell>
          <cell r="D863">
            <v>210</v>
          </cell>
          <cell r="E863">
            <v>2</v>
          </cell>
          <cell r="F863" t="str">
            <v>USD</v>
          </cell>
          <cell r="G863">
            <v>10</v>
          </cell>
          <cell r="H863">
            <v>1545</v>
          </cell>
          <cell r="I863">
            <v>1</v>
          </cell>
          <cell r="J863" t="str">
            <v>ТАК ПСБ "Ориёнбанк"</v>
          </cell>
          <cell r="K863">
            <v>15450</v>
          </cell>
          <cell r="L863">
            <v>1545</v>
          </cell>
          <cell r="M863">
            <v>1</v>
          </cell>
          <cell r="N863">
            <v>15450</v>
          </cell>
        </row>
        <row r="864">
          <cell r="A864">
            <v>2003</v>
          </cell>
          <cell r="B864">
            <v>5</v>
          </cell>
          <cell r="C864">
            <v>2</v>
          </cell>
          <cell r="D864">
            <v>360</v>
          </cell>
          <cell r="E864">
            <v>2</v>
          </cell>
          <cell r="F864" t="str">
            <v>USD</v>
          </cell>
          <cell r="G864">
            <v>10</v>
          </cell>
          <cell r="H864">
            <v>2415</v>
          </cell>
          <cell r="I864">
            <v>4</v>
          </cell>
          <cell r="J864" t="str">
            <v>ТАК ПСБ "Ориёнбанк"</v>
          </cell>
          <cell r="K864">
            <v>24150</v>
          </cell>
          <cell r="L864">
            <v>2415</v>
          </cell>
          <cell r="M864">
            <v>1</v>
          </cell>
          <cell r="N864">
            <v>24150</v>
          </cell>
        </row>
        <row r="865">
          <cell r="A865">
            <v>2003</v>
          </cell>
          <cell r="B865">
            <v>5</v>
          </cell>
          <cell r="C865">
            <v>2</v>
          </cell>
          <cell r="D865">
            <v>387</v>
          </cell>
          <cell r="E865">
            <v>2</v>
          </cell>
          <cell r="F865" t="str">
            <v>USD</v>
          </cell>
          <cell r="G865">
            <v>20</v>
          </cell>
          <cell r="H865">
            <v>363693</v>
          </cell>
          <cell r="I865">
            <v>1</v>
          </cell>
          <cell r="J865" t="str">
            <v>ТАК ПСБ "Ориёнбанк"</v>
          </cell>
          <cell r="K865">
            <v>7273860</v>
          </cell>
          <cell r="L865">
            <v>363693</v>
          </cell>
          <cell r="M865">
            <v>1</v>
          </cell>
          <cell r="N865">
            <v>7273860</v>
          </cell>
        </row>
        <row r="866">
          <cell r="A866">
            <v>2003</v>
          </cell>
          <cell r="B866">
            <v>5</v>
          </cell>
          <cell r="C866">
            <v>2</v>
          </cell>
          <cell r="D866">
            <v>390</v>
          </cell>
          <cell r="E866">
            <v>2</v>
          </cell>
          <cell r="F866" t="str">
            <v>USD</v>
          </cell>
          <cell r="G866">
            <v>13</v>
          </cell>
          <cell r="H866">
            <v>4635</v>
          </cell>
          <cell r="I866">
            <v>2</v>
          </cell>
          <cell r="J866" t="str">
            <v>ТАК ПСБ "Ориёнбанк"</v>
          </cell>
          <cell r="K866">
            <v>60255</v>
          </cell>
          <cell r="L866">
            <v>4635</v>
          </cell>
          <cell r="M866">
            <v>1</v>
          </cell>
          <cell r="N866">
            <v>60255</v>
          </cell>
        </row>
        <row r="867">
          <cell r="A867">
            <v>2003</v>
          </cell>
          <cell r="B867">
            <v>5</v>
          </cell>
          <cell r="C867">
            <v>2</v>
          </cell>
          <cell r="D867">
            <v>390</v>
          </cell>
          <cell r="E867">
            <v>2</v>
          </cell>
          <cell r="F867" t="str">
            <v>USD</v>
          </cell>
          <cell r="G867">
            <v>20</v>
          </cell>
          <cell r="H867">
            <v>154500</v>
          </cell>
          <cell r="I867">
            <v>3</v>
          </cell>
          <cell r="J867" t="str">
            <v>ТАК ПСБ "Ориёнбанк"</v>
          </cell>
          <cell r="K867">
            <v>3090000</v>
          </cell>
          <cell r="L867">
            <v>154500</v>
          </cell>
          <cell r="M867">
            <v>1</v>
          </cell>
          <cell r="N867">
            <v>3090000</v>
          </cell>
        </row>
        <row r="868">
          <cell r="A868">
            <v>2003</v>
          </cell>
          <cell r="B868">
            <v>5</v>
          </cell>
          <cell r="C868">
            <v>2</v>
          </cell>
          <cell r="D868">
            <v>450</v>
          </cell>
          <cell r="E868">
            <v>2</v>
          </cell>
          <cell r="F868" t="str">
            <v>USD</v>
          </cell>
          <cell r="G868">
            <v>20</v>
          </cell>
          <cell r="H868">
            <v>30900</v>
          </cell>
          <cell r="I868">
            <v>1</v>
          </cell>
          <cell r="J868" t="str">
            <v>ТАК ПСБ "Ориёнбанк"</v>
          </cell>
          <cell r="K868">
            <v>618000</v>
          </cell>
          <cell r="L868">
            <v>30900</v>
          </cell>
          <cell r="M868">
            <v>1</v>
          </cell>
          <cell r="N868">
            <v>618000</v>
          </cell>
        </row>
        <row r="869">
          <cell r="A869">
            <v>2003</v>
          </cell>
          <cell r="B869">
            <v>5</v>
          </cell>
          <cell r="C869">
            <v>2</v>
          </cell>
          <cell r="D869">
            <v>190</v>
          </cell>
          <cell r="E869">
            <v>2</v>
          </cell>
          <cell r="F869" t="str">
            <v>RUR</v>
          </cell>
          <cell r="G869">
            <v>10</v>
          </cell>
          <cell r="H869">
            <v>3526</v>
          </cell>
          <cell r="I869">
            <v>1</v>
          </cell>
          <cell r="J869" t="str">
            <v>ТАК ПСБ "Ориёнбанк"</v>
          </cell>
          <cell r="K869">
            <v>35260</v>
          </cell>
          <cell r="L869">
            <v>3492.7194966080037</v>
          </cell>
          <cell r="M869">
            <v>0.9905614000589914</v>
          </cell>
          <cell r="N869">
            <v>34927.19496608004</v>
          </cell>
        </row>
        <row r="870">
          <cell r="A870">
            <v>2003</v>
          </cell>
          <cell r="B870">
            <v>5</v>
          </cell>
          <cell r="C870">
            <v>1</v>
          </cell>
          <cell r="D870">
            <v>0</v>
          </cell>
          <cell r="E870">
            <v>1</v>
          </cell>
          <cell r="F870" t="str">
            <v>RUR</v>
          </cell>
          <cell r="G870">
            <v>0</v>
          </cell>
          <cell r="H870">
            <v>3324769</v>
          </cell>
          <cell r="I870">
            <v>96</v>
          </cell>
          <cell r="J870" t="str">
            <v>ТАК ПСБ "Ориёнбанк"</v>
          </cell>
          <cell r="K870">
            <v>0</v>
          </cell>
          <cell r="L870">
            <v>3293387.8355127326</v>
          </cell>
          <cell r="M870">
            <v>0.9905614000589914</v>
          </cell>
          <cell r="N870">
            <v>0</v>
          </cell>
        </row>
        <row r="871">
          <cell r="A871">
            <v>2003</v>
          </cell>
          <cell r="B871">
            <v>5</v>
          </cell>
          <cell r="C871">
            <v>1</v>
          </cell>
          <cell r="D871">
            <v>0</v>
          </cell>
          <cell r="E871">
            <v>1</v>
          </cell>
          <cell r="F871" t="str">
            <v>EURO</v>
          </cell>
          <cell r="G871">
            <v>0</v>
          </cell>
          <cell r="H871">
            <v>298000</v>
          </cell>
          <cell r="I871">
            <v>1</v>
          </cell>
          <cell r="J871" t="str">
            <v>ТАК ПСБ "Ориёнбанк"</v>
          </cell>
          <cell r="K871">
            <v>0</v>
          </cell>
          <cell r="L871">
            <v>300659.5306939502</v>
          </cell>
          <cell r="M871">
            <v>1.008924599644128</v>
          </cell>
          <cell r="N871">
            <v>0</v>
          </cell>
        </row>
        <row r="872">
          <cell r="A872">
            <v>2003</v>
          </cell>
          <cell r="B872">
            <v>5</v>
          </cell>
          <cell r="C872">
            <v>1</v>
          </cell>
          <cell r="D872">
            <v>0</v>
          </cell>
          <cell r="E872">
            <v>2</v>
          </cell>
          <cell r="F872" t="str">
            <v>TJS</v>
          </cell>
          <cell r="G872">
            <v>0</v>
          </cell>
          <cell r="H872">
            <v>274282</v>
          </cell>
          <cell r="I872">
            <v>11</v>
          </cell>
          <cell r="J872" t="str">
            <v>КБ "Сомон-банк"</v>
          </cell>
          <cell r="K872">
            <v>0</v>
          </cell>
          <cell r="L872">
            <v>274282</v>
          </cell>
          <cell r="M872">
            <v>1</v>
          </cell>
          <cell r="N872">
            <v>0</v>
          </cell>
        </row>
        <row r="873">
          <cell r="A873">
            <v>2003</v>
          </cell>
          <cell r="B873">
            <v>5</v>
          </cell>
          <cell r="C873">
            <v>3</v>
          </cell>
          <cell r="D873">
            <v>90</v>
          </cell>
          <cell r="E873">
            <v>2</v>
          </cell>
          <cell r="F873" t="str">
            <v>TJS</v>
          </cell>
          <cell r="G873">
            <v>1</v>
          </cell>
          <cell r="H873">
            <v>306</v>
          </cell>
          <cell r="I873">
            <v>1</v>
          </cell>
          <cell r="J873" t="str">
            <v>КБ "Сомон-банк"</v>
          </cell>
          <cell r="K873">
            <v>306</v>
          </cell>
          <cell r="L873">
            <v>306</v>
          </cell>
          <cell r="M873">
            <v>1</v>
          </cell>
          <cell r="N873">
            <v>306</v>
          </cell>
        </row>
        <row r="874">
          <cell r="A874">
            <v>2003</v>
          </cell>
          <cell r="B874">
            <v>5</v>
          </cell>
          <cell r="C874">
            <v>2</v>
          </cell>
          <cell r="D874">
            <v>360</v>
          </cell>
          <cell r="E874">
            <v>2</v>
          </cell>
          <cell r="F874" t="str">
            <v>TJS</v>
          </cell>
          <cell r="G874">
            <v>28</v>
          </cell>
          <cell r="H874">
            <v>1300</v>
          </cell>
          <cell r="I874">
            <v>1</v>
          </cell>
          <cell r="J874" t="str">
            <v>КБ "Сомон-банк"</v>
          </cell>
          <cell r="K874">
            <v>36400</v>
          </cell>
          <cell r="L874">
            <v>1300</v>
          </cell>
          <cell r="M874">
            <v>1</v>
          </cell>
          <cell r="N874">
            <v>36400</v>
          </cell>
        </row>
        <row r="875">
          <cell r="A875">
            <v>2003</v>
          </cell>
          <cell r="B875">
            <v>5</v>
          </cell>
          <cell r="C875">
            <v>2</v>
          </cell>
          <cell r="D875">
            <v>30</v>
          </cell>
          <cell r="E875">
            <v>2</v>
          </cell>
          <cell r="F875" t="str">
            <v>USD</v>
          </cell>
          <cell r="G875">
            <v>15</v>
          </cell>
          <cell r="H875">
            <v>61800</v>
          </cell>
          <cell r="I875">
            <v>1</v>
          </cell>
          <cell r="J875" t="str">
            <v>КБ "Сомон-банк"</v>
          </cell>
          <cell r="K875">
            <v>927000</v>
          </cell>
          <cell r="L875">
            <v>61800</v>
          </cell>
          <cell r="M875">
            <v>1</v>
          </cell>
          <cell r="N875">
            <v>927000</v>
          </cell>
        </row>
        <row r="876">
          <cell r="A876">
            <v>2003</v>
          </cell>
          <cell r="B876">
            <v>5</v>
          </cell>
          <cell r="C876">
            <v>1</v>
          </cell>
          <cell r="D876">
            <v>0</v>
          </cell>
          <cell r="E876">
            <v>1</v>
          </cell>
          <cell r="F876" t="str">
            <v>TJS</v>
          </cell>
          <cell r="G876">
            <v>0</v>
          </cell>
          <cell r="H876">
            <v>1644743</v>
          </cell>
          <cell r="I876">
            <v>9</v>
          </cell>
          <cell r="J876" t="str">
            <v>СЛТ АКБ "Ист-Кредитбанк"</v>
          </cell>
          <cell r="K876">
            <v>0</v>
          </cell>
          <cell r="L876">
            <v>1644743</v>
          </cell>
          <cell r="M876">
            <v>1</v>
          </cell>
          <cell r="N876">
            <v>0</v>
          </cell>
        </row>
        <row r="877">
          <cell r="A877">
            <v>2003</v>
          </cell>
          <cell r="B877">
            <v>5</v>
          </cell>
          <cell r="C877">
            <v>1</v>
          </cell>
          <cell r="D877">
            <v>0</v>
          </cell>
          <cell r="E877">
            <v>1</v>
          </cell>
          <cell r="F877" t="str">
            <v>USD</v>
          </cell>
          <cell r="G877">
            <v>0</v>
          </cell>
          <cell r="H877">
            <v>73140</v>
          </cell>
          <cell r="I877">
            <v>3</v>
          </cell>
          <cell r="J877" t="str">
            <v>СЛТ АКБ "Ист-Кредитбанк"</v>
          </cell>
          <cell r="K877">
            <v>0</v>
          </cell>
          <cell r="L877">
            <v>73140</v>
          </cell>
          <cell r="M877">
            <v>1</v>
          </cell>
          <cell r="N877">
            <v>0</v>
          </cell>
        </row>
        <row r="878">
          <cell r="A878">
            <v>2003</v>
          </cell>
          <cell r="B878">
            <v>5</v>
          </cell>
          <cell r="C878">
            <v>1</v>
          </cell>
          <cell r="D878">
            <v>0</v>
          </cell>
          <cell r="E878">
            <v>1</v>
          </cell>
          <cell r="F878" t="str">
            <v>RUR</v>
          </cell>
          <cell r="G878">
            <v>0</v>
          </cell>
          <cell r="H878">
            <v>30878</v>
          </cell>
          <cell r="I878">
            <v>1</v>
          </cell>
          <cell r="J878" t="str">
            <v>СЛТ АКБ "Ист-Кредитбанк"</v>
          </cell>
          <cell r="K878">
            <v>0</v>
          </cell>
          <cell r="L878">
            <v>30586.554911021536</v>
          </cell>
          <cell r="M878">
            <v>0.9905614000589914</v>
          </cell>
          <cell r="N878">
            <v>0</v>
          </cell>
        </row>
        <row r="879">
          <cell r="A879">
            <v>2003</v>
          </cell>
          <cell r="B879">
            <v>5</v>
          </cell>
          <cell r="C879">
            <v>1</v>
          </cell>
          <cell r="D879">
            <v>0</v>
          </cell>
          <cell r="E879">
            <v>1</v>
          </cell>
          <cell r="F879" t="str">
            <v>TJS</v>
          </cell>
          <cell r="G879">
            <v>0</v>
          </cell>
          <cell r="H879">
            <v>5452242</v>
          </cell>
          <cell r="I879">
            <v>28</v>
          </cell>
          <cell r="J879" t="str">
            <v>АООТ "Ходжент"</v>
          </cell>
          <cell r="K879">
            <v>0</v>
          </cell>
          <cell r="L879">
            <v>5452242</v>
          </cell>
          <cell r="M879">
            <v>1</v>
          </cell>
          <cell r="N879">
            <v>0</v>
          </cell>
        </row>
        <row r="880">
          <cell r="A880">
            <v>2003</v>
          </cell>
          <cell r="B880">
            <v>5</v>
          </cell>
          <cell r="C880">
            <v>1</v>
          </cell>
          <cell r="D880">
            <v>0</v>
          </cell>
          <cell r="E880">
            <v>1</v>
          </cell>
          <cell r="F880" t="str">
            <v>USD</v>
          </cell>
          <cell r="G880">
            <v>0</v>
          </cell>
          <cell r="H880">
            <v>3313758</v>
          </cell>
          <cell r="I880">
            <v>10</v>
          </cell>
          <cell r="J880" t="str">
            <v>АООТ "Ходжент"</v>
          </cell>
          <cell r="K880">
            <v>0</v>
          </cell>
          <cell r="L880">
            <v>3313758</v>
          </cell>
          <cell r="M880">
            <v>1</v>
          </cell>
          <cell r="N880">
            <v>0</v>
          </cell>
        </row>
        <row r="881">
          <cell r="A881">
            <v>2003</v>
          </cell>
          <cell r="B881">
            <v>5</v>
          </cell>
          <cell r="C881">
            <v>2</v>
          </cell>
          <cell r="D881">
            <v>390</v>
          </cell>
          <cell r="E881">
            <v>2</v>
          </cell>
          <cell r="F881" t="str">
            <v>USD</v>
          </cell>
          <cell r="G881">
            <v>20</v>
          </cell>
          <cell r="H881">
            <v>15450</v>
          </cell>
          <cell r="I881">
            <v>1</v>
          </cell>
          <cell r="J881" t="str">
            <v>АООТ "Ходжент"</v>
          </cell>
          <cell r="K881">
            <v>309000</v>
          </cell>
          <cell r="L881">
            <v>15450</v>
          </cell>
          <cell r="M881">
            <v>1</v>
          </cell>
          <cell r="N881">
            <v>309000</v>
          </cell>
        </row>
        <row r="882">
          <cell r="A882">
            <v>2003</v>
          </cell>
          <cell r="B882">
            <v>5</v>
          </cell>
          <cell r="C882">
            <v>2</v>
          </cell>
          <cell r="D882">
            <v>234</v>
          </cell>
          <cell r="E882">
            <v>2</v>
          </cell>
          <cell r="F882" t="str">
            <v>USD</v>
          </cell>
          <cell r="G882">
            <v>25</v>
          </cell>
          <cell r="H882">
            <v>3090</v>
          </cell>
          <cell r="I882">
            <v>1</v>
          </cell>
          <cell r="J882" t="str">
            <v>АООТ "Ходжент"</v>
          </cell>
          <cell r="K882">
            <v>77250</v>
          </cell>
          <cell r="L882">
            <v>3090</v>
          </cell>
          <cell r="M882">
            <v>1</v>
          </cell>
          <cell r="N882">
            <v>77250</v>
          </cell>
        </row>
        <row r="883">
          <cell r="A883">
            <v>2003</v>
          </cell>
          <cell r="B883">
            <v>5</v>
          </cell>
          <cell r="C883">
            <v>2</v>
          </cell>
          <cell r="D883">
            <v>210</v>
          </cell>
          <cell r="E883">
            <v>2</v>
          </cell>
          <cell r="F883" t="str">
            <v>USD</v>
          </cell>
          <cell r="G883">
            <v>24</v>
          </cell>
          <cell r="H883">
            <v>1720</v>
          </cell>
          <cell r="I883">
            <v>1</v>
          </cell>
          <cell r="J883" t="str">
            <v>АООТ "Ходжент"</v>
          </cell>
          <cell r="K883">
            <v>41280</v>
          </cell>
          <cell r="L883">
            <v>1720</v>
          </cell>
          <cell r="M883">
            <v>1</v>
          </cell>
          <cell r="N883">
            <v>41280</v>
          </cell>
        </row>
        <row r="884">
          <cell r="A884">
            <v>2003</v>
          </cell>
          <cell r="B884">
            <v>5</v>
          </cell>
          <cell r="C884">
            <v>2</v>
          </cell>
          <cell r="D884">
            <v>180</v>
          </cell>
          <cell r="E884">
            <v>2</v>
          </cell>
          <cell r="F884" t="str">
            <v>TJS</v>
          </cell>
          <cell r="G884">
            <v>30</v>
          </cell>
          <cell r="H884">
            <v>20000</v>
          </cell>
          <cell r="I884">
            <v>1</v>
          </cell>
          <cell r="J884" t="str">
            <v>КТО "Дехконбанк"</v>
          </cell>
          <cell r="K884">
            <v>600000</v>
          </cell>
          <cell r="L884">
            <v>20000</v>
          </cell>
          <cell r="M884">
            <v>1</v>
          </cell>
          <cell r="N884">
            <v>600000</v>
          </cell>
        </row>
        <row r="885">
          <cell r="A885">
            <v>2003</v>
          </cell>
          <cell r="B885">
            <v>5</v>
          </cell>
          <cell r="C885">
            <v>3</v>
          </cell>
          <cell r="D885">
            <v>0</v>
          </cell>
          <cell r="E885">
            <v>2</v>
          </cell>
          <cell r="F885" t="str">
            <v>TJS</v>
          </cell>
          <cell r="G885">
            <v>6</v>
          </cell>
          <cell r="H885">
            <v>50000</v>
          </cell>
          <cell r="I885">
            <v>1</v>
          </cell>
          <cell r="J885" t="str">
            <v>КТОО "Финансирование торговли"</v>
          </cell>
          <cell r="K885">
            <v>300000</v>
          </cell>
          <cell r="L885">
            <v>50000</v>
          </cell>
          <cell r="M885">
            <v>1</v>
          </cell>
          <cell r="N885">
            <v>300000</v>
          </cell>
        </row>
        <row r="886">
          <cell r="A886">
            <v>2003</v>
          </cell>
          <cell r="B886">
            <v>6</v>
          </cell>
          <cell r="C886">
            <v>1</v>
          </cell>
          <cell r="D886">
            <v>0</v>
          </cell>
          <cell r="E886">
            <v>1</v>
          </cell>
          <cell r="F886" t="str">
            <v>USD</v>
          </cell>
          <cell r="G886">
            <v>0</v>
          </cell>
          <cell r="H886">
            <v>1553327.8</v>
          </cell>
          <cell r="I886">
            <v>17</v>
          </cell>
          <cell r="J886" t="str">
            <v>"Тиджорат" ИРИ</v>
          </cell>
          <cell r="K886">
            <v>0</v>
          </cell>
          <cell r="L886">
            <v>1553327.8</v>
          </cell>
          <cell r="M886">
            <v>1</v>
          </cell>
          <cell r="N886">
            <v>0</v>
          </cell>
        </row>
        <row r="887">
          <cell r="A887">
            <v>2003</v>
          </cell>
          <cell r="B887">
            <v>6</v>
          </cell>
          <cell r="C887">
            <v>1</v>
          </cell>
          <cell r="D887">
            <v>0</v>
          </cell>
          <cell r="E887">
            <v>2</v>
          </cell>
          <cell r="F887" t="str">
            <v>USD</v>
          </cell>
          <cell r="G887">
            <v>0</v>
          </cell>
          <cell r="H887">
            <v>1067302.01</v>
          </cell>
          <cell r="I887">
            <v>26</v>
          </cell>
          <cell r="J887" t="str">
            <v>"Тиджорат" ИРИ</v>
          </cell>
          <cell r="K887">
            <v>0</v>
          </cell>
          <cell r="L887">
            <v>1067302.01</v>
          </cell>
          <cell r="M887">
            <v>1</v>
          </cell>
          <cell r="N887">
            <v>0</v>
          </cell>
        </row>
        <row r="888">
          <cell r="A888">
            <v>2003</v>
          </cell>
          <cell r="B888">
            <v>6</v>
          </cell>
          <cell r="C888">
            <v>1</v>
          </cell>
          <cell r="D888">
            <v>0</v>
          </cell>
          <cell r="E888">
            <v>1</v>
          </cell>
          <cell r="F888" t="str">
            <v>TJS</v>
          </cell>
          <cell r="G888">
            <v>0</v>
          </cell>
          <cell r="H888">
            <v>93050.3</v>
          </cell>
          <cell r="I888">
            <v>3</v>
          </cell>
          <cell r="J888" t="str">
            <v>"Тиджорат" ИРИ</v>
          </cell>
          <cell r="K888">
            <v>0</v>
          </cell>
          <cell r="L888">
            <v>93050.3</v>
          </cell>
          <cell r="M888">
            <v>1</v>
          </cell>
          <cell r="N888">
            <v>0</v>
          </cell>
        </row>
        <row r="889">
          <cell r="A889">
            <v>2003</v>
          </cell>
          <cell r="B889">
            <v>6</v>
          </cell>
          <cell r="C889">
            <v>1</v>
          </cell>
          <cell r="D889">
            <v>0</v>
          </cell>
          <cell r="E889">
            <v>2</v>
          </cell>
          <cell r="F889" t="str">
            <v>TJS</v>
          </cell>
          <cell r="G889">
            <v>0</v>
          </cell>
          <cell r="H889">
            <v>2530.71</v>
          </cell>
          <cell r="I889">
            <v>1</v>
          </cell>
          <cell r="J889" t="str">
            <v>"Тиджорат" ИРИ</v>
          </cell>
          <cell r="K889">
            <v>0</v>
          </cell>
          <cell r="L889">
            <v>2530.71</v>
          </cell>
          <cell r="M889">
            <v>1</v>
          </cell>
          <cell r="N889">
            <v>0</v>
          </cell>
        </row>
        <row r="890">
          <cell r="A890">
            <v>2003</v>
          </cell>
          <cell r="B890">
            <v>6</v>
          </cell>
          <cell r="C890">
            <v>3</v>
          </cell>
          <cell r="D890">
            <v>0</v>
          </cell>
          <cell r="E890">
            <v>2</v>
          </cell>
          <cell r="F890" t="str">
            <v>USD</v>
          </cell>
          <cell r="G890">
            <v>0</v>
          </cell>
          <cell r="H890">
            <v>204347.88</v>
          </cell>
          <cell r="I890">
            <v>11</v>
          </cell>
          <cell r="J890" t="str">
            <v>"Тиджорат" ИРИ</v>
          </cell>
          <cell r="K890">
            <v>0</v>
          </cell>
          <cell r="L890">
            <v>204347.88</v>
          </cell>
          <cell r="M890">
            <v>1</v>
          </cell>
          <cell r="N890">
            <v>0</v>
          </cell>
        </row>
        <row r="891">
          <cell r="A891">
            <v>2003</v>
          </cell>
          <cell r="B891">
            <v>6</v>
          </cell>
          <cell r="C891">
            <v>1</v>
          </cell>
          <cell r="D891">
            <v>0</v>
          </cell>
          <cell r="E891">
            <v>1</v>
          </cell>
          <cell r="F891" t="str">
            <v>TJS</v>
          </cell>
          <cell r="G891">
            <v>0</v>
          </cell>
          <cell r="H891">
            <v>79327713</v>
          </cell>
          <cell r="I891">
            <v>1509</v>
          </cell>
          <cell r="J891" t="str">
            <v>АК АПИБ "Агроинвестбанк"</v>
          </cell>
          <cell r="K891">
            <v>0</v>
          </cell>
          <cell r="L891">
            <v>79327713</v>
          </cell>
          <cell r="M891">
            <v>1</v>
          </cell>
          <cell r="N891">
            <v>0</v>
          </cell>
        </row>
        <row r="892">
          <cell r="A892">
            <v>2003</v>
          </cell>
          <cell r="B892">
            <v>6</v>
          </cell>
          <cell r="C892">
            <v>1</v>
          </cell>
          <cell r="D892">
            <v>0</v>
          </cell>
          <cell r="E892">
            <v>2</v>
          </cell>
          <cell r="F892" t="str">
            <v>TJS</v>
          </cell>
          <cell r="G892">
            <v>0</v>
          </cell>
          <cell r="H892">
            <v>23128</v>
          </cell>
          <cell r="I892">
            <v>3</v>
          </cell>
          <cell r="J892" t="str">
            <v>АК АПИБ "Агроинвестбанк"</v>
          </cell>
          <cell r="K892">
            <v>0</v>
          </cell>
          <cell r="L892">
            <v>23128</v>
          </cell>
          <cell r="M892">
            <v>1</v>
          </cell>
          <cell r="N892">
            <v>0</v>
          </cell>
        </row>
        <row r="893">
          <cell r="A893">
            <v>2003</v>
          </cell>
          <cell r="B893">
            <v>6</v>
          </cell>
          <cell r="C893">
            <v>3</v>
          </cell>
          <cell r="D893">
            <v>0</v>
          </cell>
          <cell r="E893">
            <v>2</v>
          </cell>
          <cell r="F893" t="str">
            <v>TJS</v>
          </cell>
          <cell r="G893">
            <v>15</v>
          </cell>
          <cell r="H893">
            <v>1290620</v>
          </cell>
          <cell r="I893">
            <v>11257</v>
          </cell>
          <cell r="J893" t="str">
            <v>АК АПИБ "Агроинвестбанк"</v>
          </cell>
          <cell r="K893">
            <v>19359300</v>
          </cell>
          <cell r="L893">
            <v>1290620</v>
          </cell>
          <cell r="M893">
            <v>1</v>
          </cell>
          <cell r="N893">
            <v>19359300</v>
          </cell>
        </row>
        <row r="894">
          <cell r="A894">
            <v>2003</v>
          </cell>
          <cell r="B894">
            <v>6</v>
          </cell>
          <cell r="C894">
            <v>2</v>
          </cell>
          <cell r="D894">
            <v>90</v>
          </cell>
          <cell r="E894">
            <v>1</v>
          </cell>
          <cell r="F894" t="str">
            <v>TJS</v>
          </cell>
          <cell r="G894">
            <v>15</v>
          </cell>
          <cell r="H894">
            <v>52360</v>
          </cell>
          <cell r="I894">
            <v>6</v>
          </cell>
          <cell r="J894" t="str">
            <v>АК АПИБ "Агроинвестбанк"</v>
          </cell>
          <cell r="K894">
            <v>785400</v>
          </cell>
          <cell r="L894">
            <v>52360</v>
          </cell>
          <cell r="M894">
            <v>1</v>
          </cell>
          <cell r="N894">
            <v>785400</v>
          </cell>
        </row>
        <row r="895">
          <cell r="A895">
            <v>2003</v>
          </cell>
          <cell r="B895">
            <v>6</v>
          </cell>
          <cell r="C895">
            <v>2</v>
          </cell>
          <cell r="D895">
            <v>180</v>
          </cell>
          <cell r="E895">
            <v>1</v>
          </cell>
          <cell r="F895" t="str">
            <v>TJS</v>
          </cell>
          <cell r="G895">
            <v>15</v>
          </cell>
          <cell r="H895">
            <v>1500</v>
          </cell>
          <cell r="I895">
            <v>1</v>
          </cell>
          <cell r="J895" t="str">
            <v>АК АПИБ "Агроинвестбанк"</v>
          </cell>
          <cell r="K895">
            <v>22500</v>
          </cell>
          <cell r="L895">
            <v>1500</v>
          </cell>
          <cell r="M895">
            <v>1</v>
          </cell>
          <cell r="N895">
            <v>22500</v>
          </cell>
        </row>
        <row r="896">
          <cell r="A896">
            <v>2003</v>
          </cell>
          <cell r="B896">
            <v>6</v>
          </cell>
          <cell r="C896">
            <v>2</v>
          </cell>
          <cell r="D896">
            <v>360</v>
          </cell>
          <cell r="E896">
            <v>1</v>
          </cell>
          <cell r="F896" t="str">
            <v>TJS</v>
          </cell>
          <cell r="G896">
            <v>16</v>
          </cell>
          <cell r="H896">
            <v>5102</v>
          </cell>
          <cell r="I896">
            <v>1</v>
          </cell>
          <cell r="J896" t="str">
            <v>АК АПИБ "Агроинвестбанк"</v>
          </cell>
          <cell r="K896">
            <v>81632</v>
          </cell>
          <cell r="L896">
            <v>5102</v>
          </cell>
          <cell r="M896">
            <v>1</v>
          </cell>
          <cell r="N896">
            <v>81632</v>
          </cell>
        </row>
        <row r="897">
          <cell r="A897">
            <v>2003</v>
          </cell>
          <cell r="B897">
            <v>6</v>
          </cell>
          <cell r="C897">
            <v>2</v>
          </cell>
          <cell r="D897">
            <v>366</v>
          </cell>
          <cell r="E897">
            <v>1</v>
          </cell>
          <cell r="F897" t="str">
            <v>TJS</v>
          </cell>
          <cell r="G897">
            <v>19</v>
          </cell>
          <cell r="H897">
            <v>15300</v>
          </cell>
          <cell r="I897">
            <v>2</v>
          </cell>
          <cell r="J897" t="str">
            <v>АК АПИБ "Агроинвестбанк"</v>
          </cell>
          <cell r="K897">
            <v>290700</v>
          </cell>
          <cell r="L897">
            <v>15300</v>
          </cell>
          <cell r="M897">
            <v>1</v>
          </cell>
          <cell r="N897">
            <v>290700</v>
          </cell>
        </row>
        <row r="898">
          <cell r="A898">
            <v>2003</v>
          </cell>
          <cell r="B898">
            <v>6</v>
          </cell>
          <cell r="C898">
            <v>2</v>
          </cell>
          <cell r="D898">
            <v>30</v>
          </cell>
          <cell r="E898">
            <v>2</v>
          </cell>
          <cell r="F898" t="str">
            <v>TJS</v>
          </cell>
          <cell r="G898">
            <v>12</v>
          </cell>
          <cell r="H898">
            <v>27894</v>
          </cell>
          <cell r="I898">
            <v>16</v>
          </cell>
          <cell r="J898" t="str">
            <v>АК АПИБ "Агроинвестбанк"</v>
          </cell>
          <cell r="K898">
            <v>334728</v>
          </cell>
          <cell r="L898">
            <v>27894</v>
          </cell>
          <cell r="M898">
            <v>1</v>
          </cell>
          <cell r="N898">
            <v>334728</v>
          </cell>
        </row>
        <row r="899">
          <cell r="A899">
            <v>2003</v>
          </cell>
          <cell r="B899">
            <v>6</v>
          </cell>
          <cell r="C899">
            <v>2</v>
          </cell>
          <cell r="D899">
            <v>180</v>
          </cell>
          <cell r="E899">
            <v>2</v>
          </cell>
          <cell r="F899" t="str">
            <v>TJS</v>
          </cell>
          <cell r="G899">
            <v>15</v>
          </cell>
          <cell r="H899">
            <v>11420</v>
          </cell>
          <cell r="I899">
            <v>11</v>
          </cell>
          <cell r="J899" t="str">
            <v>АК АПИБ "Агроинвестбанк"</v>
          </cell>
          <cell r="K899">
            <v>171300</v>
          </cell>
          <cell r="L899">
            <v>11420</v>
          </cell>
          <cell r="M899">
            <v>1</v>
          </cell>
          <cell r="N899">
            <v>171300</v>
          </cell>
        </row>
        <row r="900">
          <cell r="A900">
            <v>2003</v>
          </cell>
          <cell r="B900">
            <v>6</v>
          </cell>
          <cell r="C900">
            <v>2</v>
          </cell>
          <cell r="D900">
            <v>360</v>
          </cell>
          <cell r="E900">
            <v>2</v>
          </cell>
          <cell r="F900" t="str">
            <v>TJS</v>
          </cell>
          <cell r="G900">
            <v>16</v>
          </cell>
          <cell r="H900">
            <v>114141</v>
          </cell>
          <cell r="I900">
            <v>12</v>
          </cell>
          <cell r="J900" t="str">
            <v>АК АПИБ "Агроинвестбанк"</v>
          </cell>
          <cell r="K900">
            <v>1826256</v>
          </cell>
          <cell r="L900">
            <v>114141</v>
          </cell>
          <cell r="M900">
            <v>1</v>
          </cell>
          <cell r="N900">
            <v>1826256</v>
          </cell>
        </row>
        <row r="901">
          <cell r="A901">
            <v>2003</v>
          </cell>
          <cell r="B901">
            <v>6</v>
          </cell>
          <cell r="C901">
            <v>1</v>
          </cell>
          <cell r="D901">
            <v>0</v>
          </cell>
          <cell r="E901">
            <v>1</v>
          </cell>
          <cell r="F901" t="str">
            <v>RUR</v>
          </cell>
          <cell r="G901">
            <v>0</v>
          </cell>
          <cell r="H901">
            <v>795454</v>
          </cell>
          <cell r="I901">
            <v>26</v>
          </cell>
          <cell r="J901" t="str">
            <v>АК АПИБ "Агроинвестбанк"</v>
          </cell>
          <cell r="K901">
            <v>0</v>
          </cell>
          <cell r="L901">
            <v>795454</v>
          </cell>
          <cell r="M901">
            <v>1</v>
          </cell>
          <cell r="N901">
            <v>0</v>
          </cell>
        </row>
        <row r="902">
          <cell r="A902">
            <v>2003</v>
          </cell>
          <cell r="B902">
            <v>6</v>
          </cell>
          <cell r="C902">
            <v>3</v>
          </cell>
          <cell r="D902">
            <v>0</v>
          </cell>
          <cell r="E902">
            <v>2</v>
          </cell>
          <cell r="F902" t="str">
            <v>RUR</v>
          </cell>
          <cell r="G902">
            <v>6</v>
          </cell>
          <cell r="H902">
            <v>78482</v>
          </cell>
          <cell r="I902">
            <v>19</v>
          </cell>
          <cell r="J902" t="str">
            <v>АК АПИБ "Агроинвестбанк"</v>
          </cell>
          <cell r="K902">
            <v>470892</v>
          </cell>
          <cell r="L902">
            <v>78482</v>
          </cell>
          <cell r="M902">
            <v>1</v>
          </cell>
          <cell r="N902">
            <v>470892</v>
          </cell>
        </row>
        <row r="903">
          <cell r="A903">
            <v>2003</v>
          </cell>
          <cell r="B903">
            <v>6</v>
          </cell>
          <cell r="C903">
            <v>2</v>
          </cell>
          <cell r="D903">
            <v>90</v>
          </cell>
          <cell r="E903">
            <v>2</v>
          </cell>
          <cell r="F903" t="str">
            <v>RUR</v>
          </cell>
          <cell r="G903">
            <v>8</v>
          </cell>
          <cell r="H903">
            <v>21050</v>
          </cell>
          <cell r="I903">
            <v>5</v>
          </cell>
          <cell r="J903" t="str">
            <v>АК АПИБ "Агроинвестбанк"</v>
          </cell>
          <cell r="K903">
            <v>168400</v>
          </cell>
          <cell r="L903">
            <v>21050</v>
          </cell>
          <cell r="M903">
            <v>1</v>
          </cell>
          <cell r="N903">
            <v>168400</v>
          </cell>
        </row>
        <row r="904">
          <cell r="A904">
            <v>2003</v>
          </cell>
          <cell r="B904">
            <v>6</v>
          </cell>
          <cell r="C904">
            <v>1</v>
          </cell>
          <cell r="D904">
            <v>0</v>
          </cell>
          <cell r="E904">
            <v>1</v>
          </cell>
          <cell r="F904" t="str">
            <v>USD</v>
          </cell>
          <cell r="G904">
            <v>0</v>
          </cell>
          <cell r="H904">
            <v>24025175</v>
          </cell>
          <cell r="I904">
            <v>148</v>
          </cell>
          <cell r="J904" t="str">
            <v>АК АПИБ "Агроинвестбанк"</v>
          </cell>
          <cell r="K904">
            <v>0</v>
          </cell>
          <cell r="L904">
            <v>24025175</v>
          </cell>
          <cell r="M904">
            <v>1</v>
          </cell>
          <cell r="N904">
            <v>0</v>
          </cell>
        </row>
        <row r="905">
          <cell r="A905">
            <v>2003</v>
          </cell>
          <cell r="B905">
            <v>6</v>
          </cell>
          <cell r="C905">
            <v>1</v>
          </cell>
          <cell r="D905">
            <v>0</v>
          </cell>
          <cell r="E905">
            <v>2</v>
          </cell>
          <cell r="F905" t="str">
            <v>USD</v>
          </cell>
          <cell r="G905">
            <v>0</v>
          </cell>
          <cell r="H905">
            <v>77251</v>
          </cell>
          <cell r="I905">
            <v>27</v>
          </cell>
          <cell r="J905" t="str">
            <v>АК АПИБ "Агроинвестбанк"</v>
          </cell>
          <cell r="K905">
            <v>0</v>
          </cell>
          <cell r="L905">
            <v>77251</v>
          </cell>
          <cell r="M905">
            <v>1</v>
          </cell>
          <cell r="N905">
            <v>0</v>
          </cell>
        </row>
        <row r="906">
          <cell r="A906">
            <v>2003</v>
          </cell>
          <cell r="B906">
            <v>6</v>
          </cell>
          <cell r="C906">
            <v>3</v>
          </cell>
          <cell r="D906">
            <v>0</v>
          </cell>
          <cell r="E906">
            <v>2</v>
          </cell>
          <cell r="F906" t="str">
            <v>USD</v>
          </cell>
          <cell r="G906">
            <v>6</v>
          </cell>
          <cell r="H906">
            <v>5061220</v>
          </cell>
          <cell r="I906">
            <v>815</v>
          </cell>
          <cell r="J906" t="str">
            <v>АК АПИБ "Агроинвестбанк"</v>
          </cell>
          <cell r="K906">
            <v>30367320</v>
          </cell>
          <cell r="L906">
            <v>5061220</v>
          </cell>
          <cell r="M906">
            <v>1</v>
          </cell>
          <cell r="N906">
            <v>30367320</v>
          </cell>
        </row>
        <row r="907">
          <cell r="A907">
            <v>2003</v>
          </cell>
          <cell r="B907">
            <v>6</v>
          </cell>
          <cell r="C907">
            <v>2</v>
          </cell>
          <cell r="D907">
            <v>180</v>
          </cell>
          <cell r="E907">
            <v>1</v>
          </cell>
          <cell r="F907" t="str">
            <v>USD</v>
          </cell>
          <cell r="G907">
            <v>9.5</v>
          </cell>
          <cell r="H907">
            <v>384</v>
          </cell>
          <cell r="I907">
            <v>1</v>
          </cell>
          <cell r="J907" t="str">
            <v>АК АПИБ "Агроинвестбанк"</v>
          </cell>
          <cell r="K907">
            <v>3648</v>
          </cell>
          <cell r="L907">
            <v>384</v>
          </cell>
          <cell r="M907">
            <v>1</v>
          </cell>
          <cell r="N907">
            <v>3648</v>
          </cell>
        </row>
        <row r="908">
          <cell r="A908">
            <v>2003</v>
          </cell>
          <cell r="B908">
            <v>6</v>
          </cell>
          <cell r="C908">
            <v>2</v>
          </cell>
          <cell r="D908">
            <v>90</v>
          </cell>
          <cell r="E908">
            <v>2</v>
          </cell>
          <cell r="F908" t="str">
            <v>USD</v>
          </cell>
          <cell r="G908">
            <v>9</v>
          </cell>
          <cell r="H908">
            <v>70143</v>
          </cell>
          <cell r="I908">
            <v>6</v>
          </cell>
          <cell r="J908" t="str">
            <v>АК АПИБ "Агроинвестбанк"</v>
          </cell>
          <cell r="K908">
            <v>631287</v>
          </cell>
          <cell r="L908">
            <v>70143</v>
          </cell>
          <cell r="M908">
            <v>1</v>
          </cell>
          <cell r="N908">
            <v>631287</v>
          </cell>
        </row>
        <row r="909">
          <cell r="A909">
            <v>2003</v>
          </cell>
          <cell r="B909">
            <v>6</v>
          </cell>
          <cell r="C909">
            <v>2</v>
          </cell>
          <cell r="D909">
            <v>180</v>
          </cell>
          <cell r="E909">
            <v>2</v>
          </cell>
          <cell r="F909" t="str">
            <v>USD</v>
          </cell>
          <cell r="G909">
            <v>12</v>
          </cell>
          <cell r="H909">
            <v>512750</v>
          </cell>
          <cell r="I909">
            <v>44</v>
          </cell>
          <cell r="J909" t="str">
            <v>АК АПИБ "Агроинвестбанк"</v>
          </cell>
          <cell r="K909">
            <v>6153000</v>
          </cell>
          <cell r="L909">
            <v>512750</v>
          </cell>
          <cell r="M909">
            <v>1</v>
          </cell>
          <cell r="N909">
            <v>6153000</v>
          </cell>
        </row>
        <row r="910">
          <cell r="A910">
            <v>2003</v>
          </cell>
          <cell r="B910">
            <v>6</v>
          </cell>
          <cell r="C910">
            <v>2</v>
          </cell>
          <cell r="D910">
            <v>360</v>
          </cell>
          <cell r="E910">
            <v>2</v>
          </cell>
          <cell r="F910" t="str">
            <v>USD</v>
          </cell>
          <cell r="G910">
            <v>13</v>
          </cell>
          <cell r="H910">
            <v>58714954</v>
          </cell>
          <cell r="I910">
            <v>142</v>
          </cell>
          <cell r="J910" t="str">
            <v>АК АПИБ "Агроинвестбанк"</v>
          </cell>
          <cell r="K910">
            <v>763294402</v>
          </cell>
          <cell r="L910">
            <v>58714954</v>
          </cell>
          <cell r="M910">
            <v>1</v>
          </cell>
          <cell r="N910">
            <v>763294402</v>
          </cell>
        </row>
        <row r="911">
          <cell r="A911">
            <v>2003</v>
          </cell>
          <cell r="B911">
            <v>6</v>
          </cell>
          <cell r="C911">
            <v>2</v>
          </cell>
          <cell r="D911">
            <v>366</v>
          </cell>
          <cell r="E911">
            <v>2</v>
          </cell>
          <cell r="F911" t="str">
            <v>USD</v>
          </cell>
          <cell r="G911">
            <v>15</v>
          </cell>
          <cell r="H911">
            <v>649831</v>
          </cell>
          <cell r="I911">
            <v>73</v>
          </cell>
          <cell r="J911" t="str">
            <v>АК АПИБ "Агроинвестбанк"</v>
          </cell>
          <cell r="K911">
            <v>9747465</v>
          </cell>
          <cell r="L911">
            <v>649831</v>
          </cell>
          <cell r="M911">
            <v>1</v>
          </cell>
          <cell r="N911">
            <v>9747465</v>
          </cell>
        </row>
        <row r="912">
          <cell r="A912">
            <v>2003</v>
          </cell>
          <cell r="B912">
            <v>6</v>
          </cell>
          <cell r="C912">
            <v>1</v>
          </cell>
          <cell r="D912">
            <v>0</v>
          </cell>
          <cell r="E912">
            <v>1</v>
          </cell>
          <cell r="F912" t="str">
            <v>TJS</v>
          </cell>
          <cell r="G912">
            <v>0</v>
          </cell>
          <cell r="H912">
            <v>5862338</v>
          </cell>
          <cell r="I912">
            <v>51</v>
          </cell>
          <cell r="J912" t="str">
            <v>АКБ  СП "Сохибкорбанк"</v>
          </cell>
          <cell r="K912">
            <v>0</v>
          </cell>
          <cell r="L912">
            <v>5862338</v>
          </cell>
          <cell r="M912">
            <v>1</v>
          </cell>
          <cell r="N912">
            <v>0</v>
          </cell>
        </row>
        <row r="913">
          <cell r="A913">
            <v>2003</v>
          </cell>
          <cell r="B913">
            <v>6</v>
          </cell>
          <cell r="C913">
            <v>2</v>
          </cell>
          <cell r="D913">
            <v>360</v>
          </cell>
          <cell r="E913">
            <v>2</v>
          </cell>
          <cell r="F913" t="str">
            <v>TJS</v>
          </cell>
          <cell r="G913">
            <v>8</v>
          </cell>
          <cell r="H913">
            <v>8650</v>
          </cell>
          <cell r="I913">
            <v>3</v>
          </cell>
          <cell r="J913" t="str">
            <v>АКБ  СП "Сохибкорбанк"</v>
          </cell>
          <cell r="K913">
            <v>69200</v>
          </cell>
          <cell r="L913">
            <v>8650</v>
          </cell>
          <cell r="M913">
            <v>1</v>
          </cell>
          <cell r="N913">
            <v>69200</v>
          </cell>
        </row>
        <row r="914">
          <cell r="A914">
            <v>2003</v>
          </cell>
          <cell r="B914">
            <v>6</v>
          </cell>
          <cell r="C914">
            <v>2</v>
          </cell>
          <cell r="D914">
            <v>60</v>
          </cell>
          <cell r="E914">
            <v>2</v>
          </cell>
          <cell r="F914" t="str">
            <v>TJS</v>
          </cell>
          <cell r="G914">
            <v>24</v>
          </cell>
          <cell r="H914">
            <v>1500</v>
          </cell>
          <cell r="I914">
            <v>1</v>
          </cell>
          <cell r="J914" t="str">
            <v>АКБ  СП "Сохибкорбанк"</v>
          </cell>
          <cell r="K914">
            <v>36000</v>
          </cell>
          <cell r="L914">
            <v>1500</v>
          </cell>
          <cell r="M914">
            <v>1</v>
          </cell>
          <cell r="N914">
            <v>36000</v>
          </cell>
        </row>
        <row r="915">
          <cell r="A915">
            <v>2003</v>
          </cell>
          <cell r="B915">
            <v>6</v>
          </cell>
          <cell r="C915">
            <v>3</v>
          </cell>
          <cell r="D915">
            <v>360</v>
          </cell>
          <cell r="E915">
            <v>2</v>
          </cell>
          <cell r="F915" t="str">
            <v>TJS</v>
          </cell>
          <cell r="G915">
            <v>24</v>
          </cell>
          <cell r="H915">
            <v>6200</v>
          </cell>
          <cell r="I915">
            <v>2</v>
          </cell>
          <cell r="J915" t="str">
            <v>АКБ  СП "Сохибкорбанк"</v>
          </cell>
          <cell r="K915">
            <v>148800</v>
          </cell>
          <cell r="L915">
            <v>6200</v>
          </cell>
          <cell r="M915">
            <v>1</v>
          </cell>
          <cell r="N915">
            <v>148800</v>
          </cell>
        </row>
        <row r="916">
          <cell r="A916">
            <v>2003</v>
          </cell>
          <cell r="B916">
            <v>6</v>
          </cell>
          <cell r="C916">
            <v>2</v>
          </cell>
          <cell r="D916">
            <v>60</v>
          </cell>
          <cell r="E916">
            <v>2</v>
          </cell>
          <cell r="F916" t="str">
            <v>TJS</v>
          </cell>
          <cell r="G916">
            <v>60</v>
          </cell>
          <cell r="H916">
            <v>50</v>
          </cell>
          <cell r="I916">
            <v>1</v>
          </cell>
          <cell r="J916" t="str">
            <v>АКБ  СП "Сохибкорбанк"</v>
          </cell>
          <cell r="K916">
            <v>3000</v>
          </cell>
          <cell r="L916">
            <v>50</v>
          </cell>
          <cell r="M916">
            <v>1</v>
          </cell>
          <cell r="N916">
            <v>3000</v>
          </cell>
        </row>
        <row r="917">
          <cell r="A917">
            <v>2003</v>
          </cell>
          <cell r="B917">
            <v>6</v>
          </cell>
          <cell r="C917">
            <v>1</v>
          </cell>
          <cell r="D917">
            <v>0</v>
          </cell>
          <cell r="E917">
            <v>1</v>
          </cell>
          <cell r="F917" t="str">
            <v>USD</v>
          </cell>
          <cell r="G917">
            <v>0</v>
          </cell>
          <cell r="H917">
            <v>3698928</v>
          </cell>
          <cell r="I917">
            <v>8</v>
          </cell>
          <cell r="J917" t="str">
            <v>АКБ  СП "Сохибкорбанк"</v>
          </cell>
          <cell r="K917">
            <v>0</v>
          </cell>
          <cell r="L917">
            <v>3698928</v>
          </cell>
          <cell r="M917">
            <v>1</v>
          </cell>
          <cell r="N917">
            <v>0</v>
          </cell>
        </row>
        <row r="918">
          <cell r="A918">
            <v>2003</v>
          </cell>
          <cell r="B918">
            <v>6</v>
          </cell>
          <cell r="C918">
            <v>1</v>
          </cell>
          <cell r="D918">
            <v>0</v>
          </cell>
          <cell r="E918">
            <v>1</v>
          </cell>
          <cell r="F918" t="str">
            <v>RUR</v>
          </cell>
          <cell r="G918">
            <v>0</v>
          </cell>
          <cell r="H918">
            <v>553225</v>
          </cell>
          <cell r="I918">
            <v>5</v>
          </cell>
          <cell r="J918" t="str">
            <v>АКБ  СП "Сохибкорбанк"</v>
          </cell>
          <cell r="K918">
            <v>0</v>
          </cell>
          <cell r="L918">
            <v>553225</v>
          </cell>
          <cell r="M918">
            <v>1</v>
          </cell>
          <cell r="N918">
            <v>0</v>
          </cell>
        </row>
        <row r="919">
          <cell r="A919">
            <v>2003</v>
          </cell>
          <cell r="B919">
            <v>6</v>
          </cell>
          <cell r="C919">
            <v>1</v>
          </cell>
          <cell r="D919">
            <v>0</v>
          </cell>
          <cell r="E919">
            <v>1</v>
          </cell>
          <cell r="F919" t="str">
            <v>EURO</v>
          </cell>
          <cell r="G919">
            <v>0</v>
          </cell>
          <cell r="H919">
            <v>100710</v>
          </cell>
          <cell r="I919">
            <v>2</v>
          </cell>
          <cell r="J919" t="str">
            <v>АКБ  СП "Сохибкорбанк"</v>
          </cell>
          <cell r="K919">
            <v>0</v>
          </cell>
          <cell r="L919">
            <v>100710</v>
          </cell>
          <cell r="M919">
            <v>1</v>
          </cell>
          <cell r="N919">
            <v>0</v>
          </cell>
        </row>
        <row r="920">
          <cell r="A920">
            <v>2003</v>
          </cell>
          <cell r="B920">
            <v>6</v>
          </cell>
          <cell r="C920">
            <v>2</v>
          </cell>
          <cell r="D920">
            <v>60</v>
          </cell>
          <cell r="E920">
            <v>2</v>
          </cell>
          <cell r="F920" t="str">
            <v>USD</v>
          </cell>
          <cell r="G920">
            <v>12</v>
          </cell>
          <cell r="H920">
            <v>17953</v>
          </cell>
          <cell r="I920">
            <v>1</v>
          </cell>
          <cell r="J920" t="str">
            <v>АКБ  СП "Сохибкорбанк"</v>
          </cell>
          <cell r="K920">
            <v>215436</v>
          </cell>
          <cell r="L920">
            <v>17953</v>
          </cell>
          <cell r="M920">
            <v>1</v>
          </cell>
          <cell r="N920">
            <v>215436</v>
          </cell>
        </row>
        <row r="921">
          <cell r="A921">
            <v>2003</v>
          </cell>
          <cell r="B921">
            <v>6</v>
          </cell>
          <cell r="C921">
            <v>2</v>
          </cell>
          <cell r="D921">
            <v>360</v>
          </cell>
          <cell r="E921">
            <v>2</v>
          </cell>
          <cell r="F921" t="str">
            <v>USD</v>
          </cell>
          <cell r="G921">
            <v>18</v>
          </cell>
          <cell r="H921">
            <v>2781</v>
          </cell>
          <cell r="I921">
            <v>1</v>
          </cell>
          <cell r="J921" t="str">
            <v>АКБ  СП "Сохибкорбанк"</v>
          </cell>
          <cell r="K921">
            <v>50058</v>
          </cell>
          <cell r="L921">
            <v>2781</v>
          </cell>
          <cell r="M921">
            <v>1</v>
          </cell>
          <cell r="N921">
            <v>50058</v>
          </cell>
        </row>
        <row r="922">
          <cell r="A922">
            <v>2003</v>
          </cell>
          <cell r="B922">
            <v>6</v>
          </cell>
          <cell r="C922">
            <v>2</v>
          </cell>
          <cell r="D922">
            <v>210</v>
          </cell>
          <cell r="E922">
            <v>2</v>
          </cell>
          <cell r="F922" t="str">
            <v>USD</v>
          </cell>
          <cell r="G922">
            <v>22</v>
          </cell>
          <cell r="H922">
            <v>67362</v>
          </cell>
          <cell r="I922">
            <v>3</v>
          </cell>
          <cell r="J922" t="str">
            <v>АКБ  СП "Сохибкорбанк"</v>
          </cell>
          <cell r="K922">
            <v>1481964</v>
          </cell>
          <cell r="L922">
            <v>67362</v>
          </cell>
          <cell r="M922">
            <v>1</v>
          </cell>
          <cell r="N922">
            <v>1481964</v>
          </cell>
        </row>
        <row r="923">
          <cell r="A923">
            <v>2003</v>
          </cell>
          <cell r="B923">
            <v>6</v>
          </cell>
          <cell r="C923">
            <v>1</v>
          </cell>
          <cell r="D923">
            <v>0</v>
          </cell>
          <cell r="E923">
            <v>1</v>
          </cell>
          <cell r="F923" t="str">
            <v>TJS</v>
          </cell>
          <cell r="G923">
            <v>0</v>
          </cell>
          <cell r="H923">
            <v>244772</v>
          </cell>
          <cell r="I923">
            <v>20</v>
          </cell>
          <cell r="J923" t="str">
            <v>АКБ "Ганчина"</v>
          </cell>
          <cell r="K923">
            <v>0</v>
          </cell>
          <cell r="L923">
            <v>244772</v>
          </cell>
          <cell r="M923">
            <v>1</v>
          </cell>
          <cell r="N923">
            <v>0</v>
          </cell>
        </row>
        <row r="924">
          <cell r="A924">
            <v>2003</v>
          </cell>
          <cell r="B924">
            <v>6</v>
          </cell>
          <cell r="C924">
            <v>1</v>
          </cell>
          <cell r="D924">
            <v>0</v>
          </cell>
          <cell r="E924">
            <v>2</v>
          </cell>
          <cell r="F924" t="str">
            <v>TJS</v>
          </cell>
          <cell r="G924">
            <v>0</v>
          </cell>
          <cell r="H924">
            <v>60800</v>
          </cell>
          <cell r="I924">
            <v>1</v>
          </cell>
          <cell r="J924" t="str">
            <v>АКБ "Ганчина"</v>
          </cell>
          <cell r="K924">
            <v>0</v>
          </cell>
          <cell r="L924">
            <v>60800</v>
          </cell>
          <cell r="M924">
            <v>1</v>
          </cell>
          <cell r="N924">
            <v>0</v>
          </cell>
        </row>
        <row r="925">
          <cell r="A925">
            <v>2003</v>
          </cell>
          <cell r="B925">
            <v>6</v>
          </cell>
          <cell r="C925">
            <v>2</v>
          </cell>
          <cell r="D925">
            <v>360</v>
          </cell>
          <cell r="E925">
            <v>2</v>
          </cell>
          <cell r="F925" t="str">
            <v>TJS</v>
          </cell>
          <cell r="G925">
            <v>6</v>
          </cell>
          <cell r="H925">
            <v>7250</v>
          </cell>
          <cell r="I925">
            <v>4</v>
          </cell>
          <cell r="J925" t="str">
            <v>АКБ "Эсхата"</v>
          </cell>
          <cell r="K925">
            <v>43500</v>
          </cell>
          <cell r="L925">
            <v>7250</v>
          </cell>
          <cell r="M925">
            <v>1</v>
          </cell>
          <cell r="N925">
            <v>43500</v>
          </cell>
        </row>
        <row r="926">
          <cell r="A926">
            <v>2003</v>
          </cell>
          <cell r="B926">
            <v>6</v>
          </cell>
          <cell r="C926">
            <v>2</v>
          </cell>
          <cell r="D926">
            <v>450</v>
          </cell>
          <cell r="E926">
            <v>2</v>
          </cell>
          <cell r="F926" t="str">
            <v>TJS</v>
          </cell>
          <cell r="G926">
            <v>24</v>
          </cell>
          <cell r="H926">
            <v>500</v>
          </cell>
          <cell r="I926">
            <v>1</v>
          </cell>
          <cell r="J926" t="str">
            <v>АКБ "Эсхата"</v>
          </cell>
          <cell r="K926">
            <v>12000</v>
          </cell>
          <cell r="L926">
            <v>500</v>
          </cell>
          <cell r="M926">
            <v>1</v>
          </cell>
          <cell r="N926">
            <v>12000</v>
          </cell>
        </row>
        <row r="927">
          <cell r="A927">
            <v>2003</v>
          </cell>
          <cell r="B927">
            <v>6</v>
          </cell>
          <cell r="C927">
            <v>1</v>
          </cell>
          <cell r="D927">
            <v>0</v>
          </cell>
          <cell r="E927">
            <v>1</v>
          </cell>
          <cell r="F927" t="str">
            <v>TJS</v>
          </cell>
          <cell r="G927">
            <v>0</v>
          </cell>
          <cell r="H927">
            <v>14634819</v>
          </cell>
          <cell r="I927">
            <v>228</v>
          </cell>
          <cell r="J927" t="str">
            <v>АКБ "Эсхата"</v>
          </cell>
          <cell r="K927">
            <v>0</v>
          </cell>
          <cell r="L927">
            <v>14634819</v>
          </cell>
          <cell r="M927">
            <v>1</v>
          </cell>
          <cell r="N927">
            <v>0</v>
          </cell>
        </row>
        <row r="928">
          <cell r="A928">
            <v>2003</v>
          </cell>
          <cell r="B928">
            <v>6</v>
          </cell>
          <cell r="C928">
            <v>1</v>
          </cell>
          <cell r="D928">
            <v>0</v>
          </cell>
          <cell r="E928">
            <v>2</v>
          </cell>
          <cell r="F928" t="str">
            <v>TJS</v>
          </cell>
          <cell r="G928">
            <v>0</v>
          </cell>
          <cell r="H928">
            <v>1427458</v>
          </cell>
          <cell r="I928">
            <v>45</v>
          </cell>
          <cell r="J928" t="str">
            <v>АКБ "Эсхата"</v>
          </cell>
          <cell r="K928">
            <v>0</v>
          </cell>
          <cell r="L928">
            <v>1427458</v>
          </cell>
          <cell r="M928">
            <v>1</v>
          </cell>
          <cell r="N928">
            <v>0</v>
          </cell>
        </row>
        <row r="929">
          <cell r="A929">
            <v>2003</v>
          </cell>
          <cell r="B929">
            <v>6</v>
          </cell>
          <cell r="C929">
            <v>2</v>
          </cell>
          <cell r="D929">
            <v>90</v>
          </cell>
          <cell r="E929">
            <v>2</v>
          </cell>
          <cell r="F929" t="str">
            <v>RUR</v>
          </cell>
          <cell r="G929">
            <v>8</v>
          </cell>
          <cell r="H929">
            <v>1017</v>
          </cell>
          <cell r="I929">
            <v>1</v>
          </cell>
          <cell r="J929" t="str">
            <v>АКБ "Эсхата"</v>
          </cell>
          <cell r="K929">
            <v>8136</v>
          </cell>
          <cell r="L929">
            <v>1017</v>
          </cell>
          <cell r="M929">
            <v>1</v>
          </cell>
          <cell r="N929">
            <v>8136</v>
          </cell>
        </row>
        <row r="930">
          <cell r="A930">
            <v>2003</v>
          </cell>
          <cell r="B930">
            <v>6</v>
          </cell>
          <cell r="C930">
            <v>2</v>
          </cell>
          <cell r="D930">
            <v>360</v>
          </cell>
          <cell r="E930">
            <v>2</v>
          </cell>
          <cell r="F930" t="str">
            <v>USD</v>
          </cell>
          <cell r="G930">
            <v>12</v>
          </cell>
          <cell r="H930">
            <v>716880</v>
          </cell>
          <cell r="I930">
            <v>15</v>
          </cell>
          <cell r="J930" t="str">
            <v>АКБ "Эсхата"</v>
          </cell>
          <cell r="K930">
            <v>8602560</v>
          </cell>
          <cell r="L930">
            <v>716880</v>
          </cell>
          <cell r="M930">
            <v>1</v>
          </cell>
          <cell r="N930">
            <v>8602560</v>
          </cell>
        </row>
        <row r="931">
          <cell r="A931">
            <v>2003</v>
          </cell>
          <cell r="B931">
            <v>6</v>
          </cell>
          <cell r="C931">
            <v>2</v>
          </cell>
          <cell r="D931">
            <v>360</v>
          </cell>
          <cell r="E931">
            <v>2</v>
          </cell>
          <cell r="F931" t="str">
            <v>USD</v>
          </cell>
          <cell r="G931">
            <v>15</v>
          </cell>
          <cell r="H931">
            <v>1236000</v>
          </cell>
          <cell r="I931">
            <v>1</v>
          </cell>
          <cell r="J931" t="str">
            <v>АКБ "Эсхата"</v>
          </cell>
          <cell r="K931">
            <v>18540000</v>
          </cell>
          <cell r="L931">
            <v>1236000</v>
          </cell>
          <cell r="M931">
            <v>1</v>
          </cell>
          <cell r="N931">
            <v>18540000</v>
          </cell>
        </row>
        <row r="932">
          <cell r="A932">
            <v>2003</v>
          </cell>
          <cell r="B932">
            <v>6</v>
          </cell>
          <cell r="C932">
            <v>2</v>
          </cell>
          <cell r="D932">
            <v>90</v>
          </cell>
          <cell r="E932">
            <v>2</v>
          </cell>
          <cell r="F932" t="str">
            <v>USD</v>
          </cell>
          <cell r="G932">
            <v>10</v>
          </cell>
          <cell r="H932">
            <v>21630</v>
          </cell>
          <cell r="I932">
            <v>1</v>
          </cell>
          <cell r="J932" t="str">
            <v>АКБ "Эсхата"</v>
          </cell>
          <cell r="K932">
            <v>216300</v>
          </cell>
          <cell r="L932">
            <v>21630</v>
          </cell>
          <cell r="M932">
            <v>1</v>
          </cell>
          <cell r="N932">
            <v>216300</v>
          </cell>
        </row>
        <row r="933">
          <cell r="A933">
            <v>2003</v>
          </cell>
          <cell r="B933">
            <v>6</v>
          </cell>
          <cell r="C933">
            <v>2</v>
          </cell>
          <cell r="D933">
            <v>180</v>
          </cell>
          <cell r="E933">
            <v>2</v>
          </cell>
          <cell r="F933" t="str">
            <v>USD</v>
          </cell>
          <cell r="G933">
            <v>10</v>
          </cell>
          <cell r="H933">
            <v>234531</v>
          </cell>
          <cell r="I933">
            <v>8</v>
          </cell>
          <cell r="J933" t="str">
            <v>АКБ "Эсхата"</v>
          </cell>
          <cell r="K933">
            <v>2345310</v>
          </cell>
          <cell r="L933">
            <v>234531</v>
          </cell>
          <cell r="M933">
            <v>1</v>
          </cell>
          <cell r="N933">
            <v>2345310</v>
          </cell>
        </row>
        <row r="934">
          <cell r="A934">
            <v>2003</v>
          </cell>
          <cell r="B934">
            <v>6</v>
          </cell>
          <cell r="C934">
            <v>2</v>
          </cell>
          <cell r="D934">
            <v>360</v>
          </cell>
          <cell r="E934">
            <v>2</v>
          </cell>
          <cell r="F934" t="str">
            <v>USD</v>
          </cell>
          <cell r="G934">
            <v>10</v>
          </cell>
          <cell r="H934">
            <v>61800</v>
          </cell>
          <cell r="I934">
            <v>1</v>
          </cell>
          <cell r="J934" t="str">
            <v>АКБ "Эсхата"</v>
          </cell>
          <cell r="K934">
            <v>618000</v>
          </cell>
          <cell r="L934">
            <v>61800</v>
          </cell>
          <cell r="M934">
            <v>1</v>
          </cell>
          <cell r="N934">
            <v>618000</v>
          </cell>
        </row>
        <row r="935">
          <cell r="A935">
            <v>2003</v>
          </cell>
          <cell r="B935">
            <v>6</v>
          </cell>
          <cell r="C935">
            <v>2</v>
          </cell>
          <cell r="D935">
            <v>450</v>
          </cell>
          <cell r="E935">
            <v>2</v>
          </cell>
          <cell r="F935" t="str">
            <v>USD</v>
          </cell>
          <cell r="G935">
            <v>12</v>
          </cell>
          <cell r="H935">
            <v>16995</v>
          </cell>
          <cell r="I935">
            <v>2</v>
          </cell>
          <cell r="J935" t="str">
            <v>АКБ "Эсхата"</v>
          </cell>
          <cell r="K935">
            <v>203940</v>
          </cell>
          <cell r="L935">
            <v>16995</v>
          </cell>
          <cell r="M935">
            <v>1</v>
          </cell>
          <cell r="N935">
            <v>203940</v>
          </cell>
        </row>
        <row r="936">
          <cell r="A936">
            <v>2003</v>
          </cell>
          <cell r="B936">
            <v>6</v>
          </cell>
          <cell r="C936">
            <v>1</v>
          </cell>
          <cell r="D936">
            <v>0</v>
          </cell>
          <cell r="E936">
            <v>1</v>
          </cell>
          <cell r="F936" t="str">
            <v>USD</v>
          </cell>
          <cell r="G936">
            <v>0</v>
          </cell>
          <cell r="H936">
            <v>7250803</v>
          </cell>
          <cell r="I936">
            <v>42</v>
          </cell>
          <cell r="J936" t="str">
            <v>АКБ "Эсхата"</v>
          </cell>
          <cell r="K936">
            <v>0</v>
          </cell>
          <cell r="L936">
            <v>7250803</v>
          </cell>
          <cell r="M936">
            <v>1</v>
          </cell>
          <cell r="N936">
            <v>0</v>
          </cell>
        </row>
        <row r="937">
          <cell r="A937">
            <v>2003</v>
          </cell>
          <cell r="B937">
            <v>6</v>
          </cell>
          <cell r="C937">
            <v>1</v>
          </cell>
          <cell r="D937">
            <v>0</v>
          </cell>
          <cell r="E937">
            <v>1</v>
          </cell>
          <cell r="F937" t="str">
            <v>RUR</v>
          </cell>
          <cell r="G937">
            <v>0</v>
          </cell>
          <cell r="H937">
            <v>625244</v>
          </cell>
          <cell r="I937">
            <v>15</v>
          </cell>
          <cell r="J937" t="str">
            <v>АКБ "Эсхата"</v>
          </cell>
          <cell r="K937">
            <v>0</v>
          </cell>
          <cell r="L937">
            <v>625244</v>
          </cell>
          <cell r="M937">
            <v>1</v>
          </cell>
          <cell r="N937">
            <v>0</v>
          </cell>
        </row>
        <row r="938">
          <cell r="A938">
            <v>2003</v>
          </cell>
          <cell r="B938">
            <v>6</v>
          </cell>
          <cell r="C938">
            <v>1</v>
          </cell>
          <cell r="D938">
            <v>0</v>
          </cell>
          <cell r="E938">
            <v>1</v>
          </cell>
          <cell r="F938" t="str">
            <v>EURO</v>
          </cell>
          <cell r="G938">
            <v>0</v>
          </cell>
          <cell r="H938">
            <v>326084</v>
          </cell>
          <cell r="I938">
            <v>2</v>
          </cell>
          <cell r="J938" t="str">
            <v>АКБ "Эсхата"</v>
          </cell>
          <cell r="K938">
            <v>0</v>
          </cell>
          <cell r="L938">
            <v>326084</v>
          </cell>
          <cell r="M938">
            <v>1</v>
          </cell>
          <cell r="N938">
            <v>0</v>
          </cell>
        </row>
        <row r="939">
          <cell r="A939">
            <v>2003</v>
          </cell>
          <cell r="B939">
            <v>6</v>
          </cell>
          <cell r="C939">
            <v>1</v>
          </cell>
          <cell r="D939">
            <v>0</v>
          </cell>
          <cell r="E939">
            <v>2</v>
          </cell>
          <cell r="F939" t="str">
            <v>USD</v>
          </cell>
          <cell r="G939">
            <v>0</v>
          </cell>
          <cell r="H939">
            <v>811168</v>
          </cell>
          <cell r="I939">
            <v>22</v>
          </cell>
          <cell r="J939" t="str">
            <v>АКБ "Эсхата"</v>
          </cell>
          <cell r="K939">
            <v>0</v>
          </cell>
          <cell r="L939">
            <v>811168</v>
          </cell>
          <cell r="M939">
            <v>1</v>
          </cell>
          <cell r="N939">
            <v>0</v>
          </cell>
        </row>
        <row r="940">
          <cell r="A940">
            <v>2003</v>
          </cell>
          <cell r="B940">
            <v>6</v>
          </cell>
          <cell r="C940">
            <v>1</v>
          </cell>
          <cell r="D940">
            <v>0</v>
          </cell>
          <cell r="E940">
            <v>2</v>
          </cell>
          <cell r="F940" t="str">
            <v>RUR</v>
          </cell>
          <cell r="G940">
            <v>0</v>
          </cell>
          <cell r="H940">
            <v>3944</v>
          </cell>
          <cell r="I940">
            <v>1</v>
          </cell>
          <cell r="J940" t="str">
            <v>АКБ "Эсхата"</v>
          </cell>
          <cell r="K940">
            <v>0</v>
          </cell>
          <cell r="L940">
            <v>3944</v>
          </cell>
          <cell r="M940">
            <v>1</v>
          </cell>
          <cell r="N940">
            <v>0</v>
          </cell>
        </row>
        <row r="941">
          <cell r="A941">
            <v>2003</v>
          </cell>
          <cell r="B941">
            <v>6</v>
          </cell>
          <cell r="C941">
            <v>1</v>
          </cell>
          <cell r="D941">
            <v>0</v>
          </cell>
          <cell r="E941">
            <v>1</v>
          </cell>
          <cell r="F941" t="str">
            <v>TJS</v>
          </cell>
          <cell r="G941">
            <v>0.5</v>
          </cell>
          <cell r="H941">
            <v>745889</v>
          </cell>
          <cell r="I941">
            <v>65</v>
          </cell>
          <cell r="J941" t="str">
            <v>АОЗТ "Кафолат"</v>
          </cell>
          <cell r="K941">
            <v>372944.5</v>
          </cell>
          <cell r="L941">
            <v>745889</v>
          </cell>
          <cell r="M941">
            <v>1</v>
          </cell>
          <cell r="N941">
            <v>372944.5</v>
          </cell>
        </row>
        <row r="942">
          <cell r="A942">
            <v>2003</v>
          </cell>
          <cell r="B942">
            <v>6</v>
          </cell>
          <cell r="C942">
            <v>2</v>
          </cell>
          <cell r="D942">
            <v>180</v>
          </cell>
          <cell r="E942">
            <v>2</v>
          </cell>
          <cell r="F942" t="str">
            <v>TJS</v>
          </cell>
          <cell r="G942">
            <v>18</v>
          </cell>
          <cell r="H942">
            <v>5200</v>
          </cell>
          <cell r="I942">
            <v>2</v>
          </cell>
          <cell r="J942" t="str">
            <v>АОЗТ "Кафолат"</v>
          </cell>
          <cell r="K942">
            <v>93600</v>
          </cell>
          <cell r="L942">
            <v>5200</v>
          </cell>
          <cell r="M942">
            <v>1</v>
          </cell>
          <cell r="N942">
            <v>93600</v>
          </cell>
        </row>
        <row r="943">
          <cell r="A943">
            <v>2003</v>
          </cell>
          <cell r="B943">
            <v>6</v>
          </cell>
          <cell r="C943">
            <v>2</v>
          </cell>
          <cell r="D943">
            <v>360</v>
          </cell>
          <cell r="E943">
            <v>2</v>
          </cell>
          <cell r="F943" t="str">
            <v>TJS</v>
          </cell>
          <cell r="G943">
            <v>10</v>
          </cell>
          <cell r="H943">
            <v>2257</v>
          </cell>
          <cell r="I943">
            <v>2</v>
          </cell>
          <cell r="J943" t="str">
            <v>АОЗТ "Кафолат"</v>
          </cell>
          <cell r="K943">
            <v>22570</v>
          </cell>
          <cell r="L943">
            <v>2257</v>
          </cell>
          <cell r="M943">
            <v>1</v>
          </cell>
          <cell r="N943">
            <v>22570</v>
          </cell>
        </row>
        <row r="944">
          <cell r="A944">
            <v>2003</v>
          </cell>
          <cell r="B944">
            <v>6</v>
          </cell>
          <cell r="C944">
            <v>3</v>
          </cell>
          <cell r="D944">
            <v>0</v>
          </cell>
          <cell r="E944">
            <v>2</v>
          </cell>
          <cell r="F944" t="str">
            <v>TJS</v>
          </cell>
          <cell r="G944">
            <v>0.5</v>
          </cell>
          <cell r="H944">
            <v>42959</v>
          </cell>
          <cell r="I944">
            <v>10</v>
          </cell>
          <cell r="J944" t="str">
            <v>АОЗТ "Кафолат"</v>
          </cell>
          <cell r="K944">
            <v>21479.5</v>
          </cell>
          <cell r="L944">
            <v>42959</v>
          </cell>
          <cell r="M944">
            <v>1</v>
          </cell>
          <cell r="N944">
            <v>21479.5</v>
          </cell>
        </row>
        <row r="945">
          <cell r="A945">
            <v>2003</v>
          </cell>
          <cell r="B945">
            <v>6</v>
          </cell>
          <cell r="C945">
            <v>3</v>
          </cell>
          <cell r="D945">
            <v>0</v>
          </cell>
          <cell r="E945">
            <v>2</v>
          </cell>
          <cell r="F945" t="str">
            <v>TJS</v>
          </cell>
          <cell r="G945">
            <v>0.5</v>
          </cell>
          <cell r="H945">
            <v>35201</v>
          </cell>
          <cell r="I945">
            <v>13</v>
          </cell>
          <cell r="J945" t="str">
            <v>АОЗТ "Кафолат"</v>
          </cell>
          <cell r="K945">
            <v>17600.5</v>
          </cell>
          <cell r="L945">
            <v>35201</v>
          </cell>
          <cell r="M945">
            <v>1</v>
          </cell>
          <cell r="N945">
            <v>17600.5</v>
          </cell>
        </row>
        <row r="946">
          <cell r="A946">
            <v>2003</v>
          </cell>
          <cell r="B946">
            <v>6</v>
          </cell>
          <cell r="C946">
            <v>2</v>
          </cell>
          <cell r="D946">
            <v>360</v>
          </cell>
          <cell r="E946">
            <v>2</v>
          </cell>
          <cell r="F946" t="str">
            <v>USD</v>
          </cell>
          <cell r="G946">
            <v>20</v>
          </cell>
          <cell r="H946">
            <v>75705</v>
          </cell>
          <cell r="I946">
            <v>5</v>
          </cell>
          <cell r="J946" t="str">
            <v>АОЗТ "Кафолат"</v>
          </cell>
          <cell r="K946">
            <v>1514100</v>
          </cell>
          <cell r="L946">
            <v>75705</v>
          </cell>
          <cell r="M946">
            <v>1</v>
          </cell>
          <cell r="N946">
            <v>1514100</v>
          </cell>
        </row>
        <row r="947">
          <cell r="A947">
            <v>2003</v>
          </cell>
          <cell r="B947">
            <v>6</v>
          </cell>
          <cell r="C947">
            <v>2</v>
          </cell>
          <cell r="D947">
            <v>390</v>
          </cell>
          <cell r="E947">
            <v>2</v>
          </cell>
          <cell r="F947" t="str">
            <v>USD</v>
          </cell>
          <cell r="G947">
            <v>22</v>
          </cell>
          <cell r="H947">
            <v>33990</v>
          </cell>
          <cell r="I947">
            <v>2</v>
          </cell>
          <cell r="J947" t="str">
            <v>АОЗТ "Кафолат"</v>
          </cell>
          <cell r="K947">
            <v>747780</v>
          </cell>
          <cell r="L947">
            <v>33990</v>
          </cell>
          <cell r="M947">
            <v>1</v>
          </cell>
          <cell r="N947">
            <v>747780</v>
          </cell>
        </row>
        <row r="948">
          <cell r="A948">
            <v>2003</v>
          </cell>
          <cell r="B948">
            <v>6</v>
          </cell>
          <cell r="C948">
            <v>2</v>
          </cell>
          <cell r="D948">
            <v>180</v>
          </cell>
          <cell r="E948">
            <v>2</v>
          </cell>
          <cell r="F948" t="str">
            <v>USD</v>
          </cell>
          <cell r="G948">
            <v>10</v>
          </cell>
          <cell r="H948">
            <v>46350</v>
          </cell>
          <cell r="I948">
            <v>1</v>
          </cell>
          <cell r="J948" t="str">
            <v>АОЗТ "Кафолат"</v>
          </cell>
          <cell r="K948">
            <v>463500</v>
          </cell>
          <cell r="L948">
            <v>46350</v>
          </cell>
          <cell r="M948">
            <v>1</v>
          </cell>
          <cell r="N948">
            <v>463500</v>
          </cell>
        </row>
        <row r="949">
          <cell r="A949">
            <v>2003</v>
          </cell>
          <cell r="B949">
            <v>6</v>
          </cell>
          <cell r="C949">
            <v>2</v>
          </cell>
          <cell r="D949">
            <v>750</v>
          </cell>
          <cell r="E949">
            <v>2</v>
          </cell>
          <cell r="F949" t="str">
            <v>USD</v>
          </cell>
          <cell r="G949">
            <v>24</v>
          </cell>
          <cell r="H949">
            <v>3708</v>
          </cell>
          <cell r="I949">
            <v>1</v>
          </cell>
          <cell r="J949" t="str">
            <v>АОЗТ "Кафолат"</v>
          </cell>
          <cell r="K949">
            <v>88992</v>
          </cell>
          <cell r="L949">
            <v>3708</v>
          </cell>
          <cell r="M949">
            <v>1</v>
          </cell>
          <cell r="N949">
            <v>88992</v>
          </cell>
        </row>
        <row r="950">
          <cell r="A950">
            <v>2003</v>
          </cell>
          <cell r="B950">
            <v>6</v>
          </cell>
          <cell r="C950">
            <v>2</v>
          </cell>
          <cell r="D950">
            <v>180</v>
          </cell>
          <cell r="E950">
            <v>2</v>
          </cell>
          <cell r="F950" t="str">
            <v>USD</v>
          </cell>
          <cell r="G950">
            <v>16</v>
          </cell>
          <cell r="H950">
            <v>2163</v>
          </cell>
          <cell r="I950">
            <v>1</v>
          </cell>
          <cell r="J950" t="str">
            <v>АОЗТ "Кафолат"</v>
          </cell>
          <cell r="K950">
            <v>34608</v>
          </cell>
          <cell r="L950">
            <v>2163</v>
          </cell>
          <cell r="M950">
            <v>1</v>
          </cell>
          <cell r="N950">
            <v>34608</v>
          </cell>
        </row>
        <row r="951">
          <cell r="A951">
            <v>2003</v>
          </cell>
          <cell r="B951">
            <v>6</v>
          </cell>
          <cell r="C951">
            <v>2</v>
          </cell>
          <cell r="D951">
            <v>390</v>
          </cell>
          <cell r="E951">
            <v>2</v>
          </cell>
          <cell r="F951" t="str">
            <v>USD</v>
          </cell>
          <cell r="G951">
            <v>20</v>
          </cell>
          <cell r="H951">
            <v>52530</v>
          </cell>
          <cell r="I951">
            <v>5</v>
          </cell>
          <cell r="J951" t="str">
            <v>АОЗТ "Кафолат"</v>
          </cell>
          <cell r="K951">
            <v>1050600</v>
          </cell>
          <cell r="L951">
            <v>52530</v>
          </cell>
          <cell r="M951">
            <v>1</v>
          </cell>
          <cell r="N951">
            <v>1050600</v>
          </cell>
        </row>
        <row r="952">
          <cell r="A952">
            <v>2003</v>
          </cell>
          <cell r="B952">
            <v>6</v>
          </cell>
          <cell r="C952">
            <v>2</v>
          </cell>
          <cell r="D952">
            <v>390</v>
          </cell>
          <cell r="E952">
            <v>2</v>
          </cell>
          <cell r="F952" t="str">
            <v>USD</v>
          </cell>
          <cell r="G952">
            <v>24</v>
          </cell>
          <cell r="H952">
            <v>24720</v>
          </cell>
          <cell r="I952">
            <v>1</v>
          </cell>
          <cell r="J952" t="str">
            <v>АОЗТ "Кафолат"</v>
          </cell>
          <cell r="K952">
            <v>593280</v>
          </cell>
          <cell r="L952">
            <v>24720</v>
          </cell>
          <cell r="M952">
            <v>1</v>
          </cell>
          <cell r="N952">
            <v>593280</v>
          </cell>
        </row>
        <row r="953">
          <cell r="A953">
            <v>2003</v>
          </cell>
          <cell r="B953">
            <v>6</v>
          </cell>
          <cell r="C953">
            <v>2</v>
          </cell>
          <cell r="D953">
            <v>360</v>
          </cell>
          <cell r="E953">
            <v>2</v>
          </cell>
          <cell r="F953" t="str">
            <v>USD</v>
          </cell>
          <cell r="G953">
            <v>18</v>
          </cell>
          <cell r="H953">
            <v>61800</v>
          </cell>
          <cell r="I953">
            <v>1</v>
          </cell>
          <cell r="J953" t="str">
            <v>АОЗТ "Кафолат"</v>
          </cell>
          <cell r="K953">
            <v>1112400</v>
          </cell>
          <cell r="L953">
            <v>61800</v>
          </cell>
          <cell r="M953">
            <v>1</v>
          </cell>
          <cell r="N953">
            <v>1112400</v>
          </cell>
        </row>
        <row r="954">
          <cell r="A954">
            <v>2003</v>
          </cell>
          <cell r="B954">
            <v>6</v>
          </cell>
          <cell r="C954">
            <v>2</v>
          </cell>
          <cell r="D954">
            <v>210</v>
          </cell>
          <cell r="E954">
            <v>2</v>
          </cell>
          <cell r="F954" t="str">
            <v>USD</v>
          </cell>
          <cell r="G954">
            <v>16</v>
          </cell>
          <cell r="H954">
            <v>6489</v>
          </cell>
          <cell r="I954">
            <v>1</v>
          </cell>
          <cell r="J954" t="str">
            <v>АОЗТ "Кафолат"</v>
          </cell>
          <cell r="K954">
            <v>103824</v>
          </cell>
          <cell r="L954">
            <v>6489</v>
          </cell>
          <cell r="M954">
            <v>1</v>
          </cell>
          <cell r="N954">
            <v>103824</v>
          </cell>
        </row>
        <row r="955">
          <cell r="A955">
            <v>2003</v>
          </cell>
          <cell r="B955">
            <v>6</v>
          </cell>
          <cell r="C955">
            <v>2</v>
          </cell>
          <cell r="D955">
            <v>360</v>
          </cell>
          <cell r="E955">
            <v>2</v>
          </cell>
          <cell r="F955" t="str">
            <v>USD</v>
          </cell>
          <cell r="G955">
            <v>16</v>
          </cell>
          <cell r="H955">
            <v>1140</v>
          </cell>
          <cell r="I955">
            <v>1</v>
          </cell>
          <cell r="J955" t="str">
            <v>АОЗТ "Кафолат"</v>
          </cell>
          <cell r="K955">
            <v>18240</v>
          </cell>
          <cell r="L955">
            <v>1140</v>
          </cell>
          <cell r="M955">
            <v>1</v>
          </cell>
          <cell r="N955">
            <v>18240</v>
          </cell>
        </row>
        <row r="956">
          <cell r="A956">
            <v>2003</v>
          </cell>
          <cell r="B956">
            <v>6</v>
          </cell>
          <cell r="C956">
            <v>2</v>
          </cell>
          <cell r="D956">
            <v>180</v>
          </cell>
          <cell r="E956">
            <v>2</v>
          </cell>
          <cell r="F956" t="str">
            <v>USD</v>
          </cell>
          <cell r="G956">
            <v>14</v>
          </cell>
          <cell r="H956">
            <v>5253</v>
          </cell>
          <cell r="I956">
            <v>1</v>
          </cell>
          <cell r="J956" t="str">
            <v>АОЗТ "Кафолат"</v>
          </cell>
          <cell r="K956">
            <v>73542</v>
          </cell>
          <cell r="L956">
            <v>5253</v>
          </cell>
          <cell r="M956">
            <v>1</v>
          </cell>
          <cell r="N956">
            <v>73542</v>
          </cell>
        </row>
        <row r="957">
          <cell r="A957">
            <v>2003</v>
          </cell>
          <cell r="B957">
            <v>6</v>
          </cell>
          <cell r="C957">
            <v>2</v>
          </cell>
          <cell r="D957">
            <v>420</v>
          </cell>
          <cell r="E957">
            <v>2</v>
          </cell>
          <cell r="F957" t="str">
            <v>USD</v>
          </cell>
          <cell r="G957">
            <v>22</v>
          </cell>
          <cell r="H957">
            <v>32136</v>
          </cell>
          <cell r="I957">
            <v>2</v>
          </cell>
          <cell r="J957" t="str">
            <v>АОЗТ "Кафолат"</v>
          </cell>
          <cell r="K957">
            <v>706992</v>
          </cell>
          <cell r="L957">
            <v>32136</v>
          </cell>
          <cell r="M957">
            <v>1</v>
          </cell>
          <cell r="N957">
            <v>706992</v>
          </cell>
        </row>
        <row r="958">
          <cell r="A958">
            <v>2003</v>
          </cell>
          <cell r="B958">
            <v>6</v>
          </cell>
          <cell r="C958">
            <v>2</v>
          </cell>
          <cell r="D958">
            <v>30</v>
          </cell>
          <cell r="E958">
            <v>2</v>
          </cell>
          <cell r="F958" t="str">
            <v>USD</v>
          </cell>
          <cell r="G958">
            <v>5</v>
          </cell>
          <cell r="H958">
            <v>118965</v>
          </cell>
          <cell r="I958">
            <v>3</v>
          </cell>
          <cell r="J958" t="str">
            <v>АОЗТ "Кафолат"</v>
          </cell>
          <cell r="K958">
            <v>594825</v>
          </cell>
          <cell r="L958">
            <v>118965</v>
          </cell>
          <cell r="M958">
            <v>1</v>
          </cell>
          <cell r="N958">
            <v>594825</v>
          </cell>
        </row>
        <row r="959">
          <cell r="A959">
            <v>2003</v>
          </cell>
          <cell r="B959">
            <v>6</v>
          </cell>
          <cell r="C959">
            <v>2</v>
          </cell>
          <cell r="D959">
            <v>360</v>
          </cell>
          <cell r="E959">
            <v>2</v>
          </cell>
          <cell r="F959" t="str">
            <v>USD</v>
          </cell>
          <cell r="G959">
            <v>24</v>
          </cell>
          <cell r="H959">
            <v>170</v>
          </cell>
          <cell r="I959">
            <v>1</v>
          </cell>
          <cell r="J959" t="str">
            <v>АОЗТ "Кафолат"</v>
          </cell>
          <cell r="K959">
            <v>4080</v>
          </cell>
          <cell r="L959">
            <v>170</v>
          </cell>
          <cell r="M959">
            <v>1</v>
          </cell>
          <cell r="N959">
            <v>4080</v>
          </cell>
        </row>
        <row r="960">
          <cell r="A960">
            <v>2003</v>
          </cell>
          <cell r="B960">
            <v>6</v>
          </cell>
          <cell r="C960">
            <v>1</v>
          </cell>
          <cell r="D960">
            <v>180</v>
          </cell>
          <cell r="E960">
            <v>2</v>
          </cell>
          <cell r="F960" t="str">
            <v>USD</v>
          </cell>
          <cell r="G960">
            <v>22</v>
          </cell>
          <cell r="H960">
            <v>9953</v>
          </cell>
          <cell r="I960">
            <v>1</v>
          </cell>
          <cell r="J960" t="str">
            <v>АОЗТ "Кафолат"</v>
          </cell>
          <cell r="K960">
            <v>218966</v>
          </cell>
          <cell r="L960">
            <v>9953</v>
          </cell>
          <cell r="M960">
            <v>1</v>
          </cell>
          <cell r="N960">
            <v>218966</v>
          </cell>
        </row>
        <row r="961">
          <cell r="A961">
            <v>2003</v>
          </cell>
          <cell r="B961">
            <v>6</v>
          </cell>
          <cell r="C961">
            <v>2</v>
          </cell>
          <cell r="D961">
            <v>180</v>
          </cell>
          <cell r="E961">
            <v>2</v>
          </cell>
          <cell r="F961" t="str">
            <v>USD</v>
          </cell>
          <cell r="G961">
            <v>18</v>
          </cell>
          <cell r="H961">
            <v>59328</v>
          </cell>
          <cell r="I961">
            <v>3</v>
          </cell>
          <cell r="J961" t="str">
            <v>АОЗТ "Кафолат"</v>
          </cell>
          <cell r="K961">
            <v>1067904</v>
          </cell>
          <cell r="L961">
            <v>59328</v>
          </cell>
          <cell r="M961">
            <v>1</v>
          </cell>
          <cell r="N961">
            <v>1067904</v>
          </cell>
        </row>
        <row r="962">
          <cell r="A962">
            <v>2003</v>
          </cell>
          <cell r="B962">
            <v>6</v>
          </cell>
          <cell r="C962">
            <v>2</v>
          </cell>
          <cell r="D962">
            <v>60</v>
          </cell>
          <cell r="E962">
            <v>2</v>
          </cell>
          <cell r="F962" t="str">
            <v>USD</v>
          </cell>
          <cell r="G962">
            <v>0.3</v>
          </cell>
          <cell r="H962">
            <v>7725</v>
          </cell>
          <cell r="I962">
            <v>1</v>
          </cell>
          <cell r="J962" t="str">
            <v>АОЗТ "Кафолат"</v>
          </cell>
          <cell r="K962">
            <v>2317.5</v>
          </cell>
          <cell r="L962">
            <v>7725</v>
          </cell>
          <cell r="M962">
            <v>1</v>
          </cell>
          <cell r="N962">
            <v>2317.5</v>
          </cell>
        </row>
        <row r="963">
          <cell r="A963">
            <v>2003</v>
          </cell>
          <cell r="B963">
            <v>6</v>
          </cell>
          <cell r="C963">
            <v>3</v>
          </cell>
          <cell r="D963">
            <v>0</v>
          </cell>
          <cell r="E963">
            <v>2</v>
          </cell>
          <cell r="F963" t="str">
            <v>USD</v>
          </cell>
          <cell r="G963">
            <v>0</v>
          </cell>
          <cell r="H963">
            <v>22951</v>
          </cell>
          <cell r="I963">
            <v>4</v>
          </cell>
          <cell r="J963" t="str">
            <v>АОЗТ "Кафолат"</v>
          </cell>
          <cell r="K963">
            <v>0</v>
          </cell>
          <cell r="L963">
            <v>22951</v>
          </cell>
          <cell r="M963">
            <v>1</v>
          </cell>
          <cell r="N963">
            <v>0</v>
          </cell>
        </row>
        <row r="964">
          <cell r="A964">
            <v>2003</v>
          </cell>
          <cell r="B964">
            <v>6</v>
          </cell>
          <cell r="C964">
            <v>2</v>
          </cell>
          <cell r="D964">
            <v>0</v>
          </cell>
          <cell r="E964">
            <v>2</v>
          </cell>
          <cell r="F964" t="str">
            <v>USD</v>
          </cell>
          <cell r="G964">
            <v>0</v>
          </cell>
          <cell r="H964">
            <v>55563</v>
          </cell>
          <cell r="I964">
            <v>4</v>
          </cell>
          <cell r="J964" t="str">
            <v>АОЗТ "Кафолат"</v>
          </cell>
          <cell r="K964">
            <v>0</v>
          </cell>
          <cell r="L964">
            <v>55563</v>
          </cell>
          <cell r="M964">
            <v>1</v>
          </cell>
          <cell r="N964">
            <v>0</v>
          </cell>
        </row>
        <row r="965">
          <cell r="A965">
            <v>2003</v>
          </cell>
          <cell r="B965">
            <v>6</v>
          </cell>
          <cell r="C965">
            <v>1</v>
          </cell>
          <cell r="D965">
            <v>0</v>
          </cell>
          <cell r="E965">
            <v>1</v>
          </cell>
          <cell r="F965" t="str">
            <v>USD</v>
          </cell>
          <cell r="G965">
            <v>0</v>
          </cell>
          <cell r="H965">
            <v>1154566</v>
          </cell>
          <cell r="I965">
            <v>10</v>
          </cell>
          <cell r="J965" t="str">
            <v>АОЗТ "Кафолат"</v>
          </cell>
          <cell r="K965">
            <v>0</v>
          </cell>
          <cell r="L965">
            <v>1154566</v>
          </cell>
          <cell r="M965">
            <v>1</v>
          </cell>
          <cell r="N965">
            <v>0</v>
          </cell>
        </row>
        <row r="966">
          <cell r="A966">
            <v>2003</v>
          </cell>
          <cell r="B966">
            <v>6</v>
          </cell>
          <cell r="C966">
            <v>1</v>
          </cell>
          <cell r="D966">
            <v>0</v>
          </cell>
          <cell r="E966">
            <v>1</v>
          </cell>
          <cell r="F966" t="str">
            <v>TJS</v>
          </cell>
          <cell r="G966">
            <v>0</v>
          </cell>
          <cell r="H966">
            <v>418632</v>
          </cell>
          <cell r="I966">
            <v>12</v>
          </cell>
          <cell r="J966" t="str">
            <v>АОЗТ "Олимп"</v>
          </cell>
          <cell r="K966">
            <v>0</v>
          </cell>
          <cell r="L966">
            <v>418632</v>
          </cell>
          <cell r="M966">
            <v>1</v>
          </cell>
          <cell r="N966">
            <v>0</v>
          </cell>
        </row>
        <row r="967">
          <cell r="A967">
            <v>2003</v>
          </cell>
          <cell r="B967">
            <v>6</v>
          </cell>
          <cell r="C967">
            <v>1</v>
          </cell>
          <cell r="D967">
            <v>360</v>
          </cell>
          <cell r="E967">
            <v>2</v>
          </cell>
          <cell r="F967" t="str">
            <v>TJS</v>
          </cell>
          <cell r="G967">
            <v>24</v>
          </cell>
          <cell r="H967">
            <v>19</v>
          </cell>
          <cell r="I967">
            <v>1</v>
          </cell>
          <cell r="J967" t="str">
            <v>АОЗТ "Олимп"</v>
          </cell>
          <cell r="K967">
            <v>456</v>
          </cell>
          <cell r="L967">
            <v>19</v>
          </cell>
          <cell r="M967">
            <v>1</v>
          </cell>
          <cell r="N967">
            <v>456</v>
          </cell>
        </row>
        <row r="968">
          <cell r="A968">
            <v>2003</v>
          </cell>
          <cell r="B968">
            <v>6</v>
          </cell>
          <cell r="C968">
            <v>2</v>
          </cell>
          <cell r="D968">
            <v>360</v>
          </cell>
          <cell r="E968">
            <v>2</v>
          </cell>
          <cell r="F968" t="str">
            <v>USD</v>
          </cell>
          <cell r="G968">
            <v>24</v>
          </cell>
          <cell r="H968">
            <v>627</v>
          </cell>
          <cell r="I968">
            <v>1</v>
          </cell>
          <cell r="J968" t="str">
            <v>АОЗТ "Олимп"</v>
          </cell>
          <cell r="K968">
            <v>15048</v>
          </cell>
          <cell r="L968">
            <v>627</v>
          </cell>
          <cell r="M968">
            <v>1</v>
          </cell>
          <cell r="N968">
            <v>15048</v>
          </cell>
        </row>
        <row r="969">
          <cell r="A969">
            <v>2003</v>
          </cell>
          <cell r="B969">
            <v>6</v>
          </cell>
          <cell r="C969">
            <v>2</v>
          </cell>
          <cell r="D969">
            <v>180</v>
          </cell>
          <cell r="E969">
            <v>2</v>
          </cell>
          <cell r="F969" t="str">
            <v>USD</v>
          </cell>
          <cell r="G969">
            <v>18</v>
          </cell>
          <cell r="H969">
            <v>1286</v>
          </cell>
          <cell r="I969">
            <v>6</v>
          </cell>
          <cell r="J969" t="str">
            <v>АОЗТ "Олимп"</v>
          </cell>
          <cell r="K969">
            <v>23148</v>
          </cell>
          <cell r="L969">
            <v>1286</v>
          </cell>
          <cell r="M969">
            <v>1</v>
          </cell>
          <cell r="N969">
            <v>23148</v>
          </cell>
        </row>
        <row r="970">
          <cell r="A970">
            <v>2003</v>
          </cell>
          <cell r="B970">
            <v>6</v>
          </cell>
          <cell r="C970">
            <v>3</v>
          </cell>
          <cell r="D970">
            <v>0</v>
          </cell>
          <cell r="E970">
            <v>2</v>
          </cell>
          <cell r="F970" t="str">
            <v>TJS</v>
          </cell>
          <cell r="G970">
            <v>2</v>
          </cell>
          <cell r="H970">
            <v>996</v>
          </cell>
          <cell r="I970">
            <v>21</v>
          </cell>
          <cell r="J970" t="str">
            <v>АОЗТ "Олимп"</v>
          </cell>
          <cell r="K970">
            <v>1992</v>
          </cell>
          <cell r="L970">
            <v>996</v>
          </cell>
          <cell r="M970">
            <v>1</v>
          </cell>
          <cell r="N970">
            <v>1992</v>
          </cell>
        </row>
        <row r="971">
          <cell r="A971">
            <v>2003</v>
          </cell>
          <cell r="B971">
            <v>6</v>
          </cell>
          <cell r="C971">
            <v>1</v>
          </cell>
          <cell r="D971">
            <v>0</v>
          </cell>
          <cell r="E971">
            <v>1</v>
          </cell>
          <cell r="F971" t="str">
            <v>TJS</v>
          </cell>
          <cell r="G971">
            <v>0</v>
          </cell>
          <cell r="H971">
            <v>29046636</v>
          </cell>
          <cell r="I971">
            <v>512</v>
          </cell>
          <cell r="J971" t="str">
            <v>ГАКБ "Точиксодиротбонк"</v>
          </cell>
          <cell r="K971">
            <v>0</v>
          </cell>
          <cell r="L971">
            <v>29046636</v>
          </cell>
          <cell r="M971">
            <v>1</v>
          </cell>
          <cell r="N971">
            <v>0</v>
          </cell>
        </row>
        <row r="972">
          <cell r="A972">
            <v>2003</v>
          </cell>
          <cell r="B972">
            <v>6</v>
          </cell>
          <cell r="C972">
            <v>1</v>
          </cell>
          <cell r="D972">
            <v>0</v>
          </cell>
          <cell r="E972">
            <v>2</v>
          </cell>
          <cell r="F972" t="str">
            <v>TJS</v>
          </cell>
          <cell r="G972">
            <v>0</v>
          </cell>
          <cell r="H972">
            <v>72464</v>
          </cell>
          <cell r="I972">
            <v>79</v>
          </cell>
          <cell r="J972" t="str">
            <v>ГАКБ "Точиксодиротбонк"</v>
          </cell>
          <cell r="K972">
            <v>0</v>
          </cell>
          <cell r="L972">
            <v>72464</v>
          </cell>
          <cell r="M972">
            <v>1</v>
          </cell>
          <cell r="N972">
            <v>0</v>
          </cell>
        </row>
        <row r="973">
          <cell r="A973">
            <v>2003</v>
          </cell>
          <cell r="B973">
            <v>6</v>
          </cell>
          <cell r="C973">
            <v>2</v>
          </cell>
          <cell r="D973">
            <v>360</v>
          </cell>
          <cell r="E973">
            <v>2</v>
          </cell>
          <cell r="F973" t="str">
            <v>TJS</v>
          </cell>
          <cell r="G973">
            <v>10</v>
          </cell>
          <cell r="H973">
            <v>80</v>
          </cell>
          <cell r="I973">
            <v>4</v>
          </cell>
          <cell r="J973" t="str">
            <v>ГАКБ "Точиксодиротбонк"</v>
          </cell>
          <cell r="K973">
            <v>800</v>
          </cell>
          <cell r="L973">
            <v>80</v>
          </cell>
          <cell r="M973">
            <v>1</v>
          </cell>
          <cell r="N973">
            <v>800</v>
          </cell>
        </row>
        <row r="974">
          <cell r="A974">
            <v>2003</v>
          </cell>
          <cell r="B974">
            <v>6</v>
          </cell>
          <cell r="C974">
            <v>2</v>
          </cell>
          <cell r="D974">
            <v>360</v>
          </cell>
          <cell r="E974">
            <v>2</v>
          </cell>
          <cell r="F974" t="str">
            <v>TJS</v>
          </cell>
          <cell r="G974">
            <v>15</v>
          </cell>
          <cell r="H974">
            <v>207621</v>
          </cell>
          <cell r="I974">
            <v>28</v>
          </cell>
          <cell r="J974" t="str">
            <v>ГАКБ "Точиксодиротбонк"</v>
          </cell>
          <cell r="K974">
            <v>3114315</v>
          </cell>
          <cell r="L974">
            <v>207621</v>
          </cell>
          <cell r="M974">
            <v>1</v>
          </cell>
          <cell r="N974">
            <v>3114315</v>
          </cell>
        </row>
        <row r="975">
          <cell r="A975">
            <v>2003</v>
          </cell>
          <cell r="B975">
            <v>6</v>
          </cell>
          <cell r="C975">
            <v>2</v>
          </cell>
          <cell r="D975">
            <v>360</v>
          </cell>
          <cell r="E975">
            <v>2</v>
          </cell>
          <cell r="F975" t="str">
            <v>TJS</v>
          </cell>
          <cell r="G975">
            <v>22</v>
          </cell>
          <cell r="H975">
            <v>870</v>
          </cell>
          <cell r="I975">
            <v>8</v>
          </cell>
          <cell r="J975" t="str">
            <v>ГАКБ "Точиксодиротбонк"</v>
          </cell>
          <cell r="K975">
            <v>19140</v>
          </cell>
          <cell r="L975">
            <v>870</v>
          </cell>
          <cell r="M975">
            <v>1</v>
          </cell>
          <cell r="N975">
            <v>19140</v>
          </cell>
        </row>
        <row r="976">
          <cell r="A976">
            <v>2003</v>
          </cell>
          <cell r="B976">
            <v>6</v>
          </cell>
          <cell r="C976">
            <v>2</v>
          </cell>
          <cell r="D976">
            <v>360</v>
          </cell>
          <cell r="E976">
            <v>2</v>
          </cell>
          <cell r="F976" t="str">
            <v>TJS</v>
          </cell>
          <cell r="G976">
            <v>23</v>
          </cell>
          <cell r="H976">
            <v>102</v>
          </cell>
          <cell r="I976">
            <v>1</v>
          </cell>
          <cell r="J976" t="str">
            <v>ГАКБ "Точиксодиротбонк"</v>
          </cell>
          <cell r="K976">
            <v>2346</v>
          </cell>
          <cell r="L976">
            <v>102</v>
          </cell>
          <cell r="M976">
            <v>1</v>
          </cell>
          <cell r="N976">
            <v>2346</v>
          </cell>
        </row>
        <row r="977">
          <cell r="A977">
            <v>2003</v>
          </cell>
          <cell r="B977">
            <v>6</v>
          </cell>
          <cell r="C977">
            <v>2</v>
          </cell>
          <cell r="D977">
            <v>360</v>
          </cell>
          <cell r="E977">
            <v>2</v>
          </cell>
          <cell r="F977" t="str">
            <v>TJS</v>
          </cell>
          <cell r="G977">
            <v>25</v>
          </cell>
          <cell r="H977">
            <v>14541</v>
          </cell>
          <cell r="I977">
            <v>1</v>
          </cell>
          <cell r="J977" t="str">
            <v>ГАКБ "Точиксодиротбонк"</v>
          </cell>
          <cell r="K977">
            <v>363525</v>
          </cell>
          <cell r="L977">
            <v>14541</v>
          </cell>
          <cell r="M977">
            <v>1</v>
          </cell>
          <cell r="N977">
            <v>363525</v>
          </cell>
        </row>
        <row r="978">
          <cell r="A978">
            <v>2003</v>
          </cell>
          <cell r="B978">
            <v>6</v>
          </cell>
          <cell r="C978">
            <v>2</v>
          </cell>
          <cell r="D978">
            <v>360</v>
          </cell>
          <cell r="E978">
            <v>2</v>
          </cell>
          <cell r="F978" t="str">
            <v>TJS</v>
          </cell>
          <cell r="G978">
            <v>26</v>
          </cell>
          <cell r="H978">
            <v>306</v>
          </cell>
          <cell r="I978">
            <v>1</v>
          </cell>
          <cell r="J978" t="str">
            <v>ГАКБ "Точиксодиротбонк"</v>
          </cell>
          <cell r="K978">
            <v>7956</v>
          </cell>
          <cell r="L978">
            <v>306</v>
          </cell>
          <cell r="M978">
            <v>1</v>
          </cell>
          <cell r="N978">
            <v>7956</v>
          </cell>
        </row>
        <row r="979">
          <cell r="A979">
            <v>2003</v>
          </cell>
          <cell r="B979">
            <v>6</v>
          </cell>
          <cell r="C979">
            <v>2</v>
          </cell>
          <cell r="D979">
            <v>360</v>
          </cell>
          <cell r="E979">
            <v>2</v>
          </cell>
          <cell r="F979" t="str">
            <v>TJS</v>
          </cell>
          <cell r="G979">
            <v>36</v>
          </cell>
          <cell r="H979">
            <v>1630</v>
          </cell>
          <cell r="I979">
            <v>2</v>
          </cell>
          <cell r="J979" t="str">
            <v>ГАКБ "Точиксодиротбонк"</v>
          </cell>
          <cell r="K979">
            <v>58680</v>
          </cell>
          <cell r="L979">
            <v>1630</v>
          </cell>
          <cell r="M979">
            <v>1</v>
          </cell>
          <cell r="N979">
            <v>58680</v>
          </cell>
        </row>
        <row r="980">
          <cell r="A980">
            <v>2003</v>
          </cell>
          <cell r="B980">
            <v>6</v>
          </cell>
          <cell r="C980">
            <v>2</v>
          </cell>
          <cell r="D980">
            <v>600</v>
          </cell>
          <cell r="E980">
            <v>2</v>
          </cell>
          <cell r="F980" t="str">
            <v>TJS</v>
          </cell>
          <cell r="G980">
            <v>15</v>
          </cell>
          <cell r="H980">
            <v>2000</v>
          </cell>
          <cell r="I980">
            <v>1</v>
          </cell>
          <cell r="J980" t="str">
            <v>ГАКБ "Точиксодиротбонк"</v>
          </cell>
          <cell r="K980">
            <v>30000</v>
          </cell>
          <cell r="L980">
            <v>2000</v>
          </cell>
          <cell r="M980">
            <v>1</v>
          </cell>
          <cell r="N980">
            <v>30000</v>
          </cell>
        </row>
        <row r="981">
          <cell r="A981">
            <v>2003</v>
          </cell>
          <cell r="B981">
            <v>6</v>
          </cell>
          <cell r="C981">
            <v>2</v>
          </cell>
          <cell r="D981">
            <v>600</v>
          </cell>
          <cell r="E981">
            <v>2</v>
          </cell>
          <cell r="F981" t="str">
            <v>TJS</v>
          </cell>
          <cell r="G981">
            <v>30</v>
          </cell>
          <cell r="H981">
            <v>5615</v>
          </cell>
          <cell r="I981">
            <v>17</v>
          </cell>
          <cell r="J981" t="str">
            <v>ГАКБ "Точиксодиротбонк"</v>
          </cell>
          <cell r="K981">
            <v>168450</v>
          </cell>
          <cell r="L981">
            <v>5615</v>
          </cell>
          <cell r="M981">
            <v>1</v>
          </cell>
          <cell r="N981">
            <v>168450</v>
          </cell>
        </row>
        <row r="982">
          <cell r="A982">
            <v>2003</v>
          </cell>
          <cell r="B982">
            <v>6</v>
          </cell>
          <cell r="C982">
            <v>3</v>
          </cell>
          <cell r="D982">
            <v>324</v>
          </cell>
          <cell r="E982">
            <v>2</v>
          </cell>
          <cell r="F982" t="str">
            <v>TJS</v>
          </cell>
          <cell r="G982">
            <v>25</v>
          </cell>
          <cell r="H982">
            <v>63765</v>
          </cell>
          <cell r="I982">
            <v>9</v>
          </cell>
          <cell r="J982" t="str">
            <v>ГАКБ "Точиксодиротбонк"</v>
          </cell>
          <cell r="K982">
            <v>1594125</v>
          </cell>
          <cell r="L982">
            <v>63765</v>
          </cell>
          <cell r="M982">
            <v>1</v>
          </cell>
          <cell r="N982">
            <v>1594125</v>
          </cell>
        </row>
        <row r="983">
          <cell r="A983">
            <v>2003</v>
          </cell>
          <cell r="B983">
            <v>6</v>
          </cell>
          <cell r="C983">
            <v>3</v>
          </cell>
          <cell r="D983">
            <v>360</v>
          </cell>
          <cell r="E983">
            <v>2</v>
          </cell>
          <cell r="F983" t="str">
            <v>TJS</v>
          </cell>
          <cell r="G983">
            <v>20</v>
          </cell>
          <cell r="H983">
            <v>136</v>
          </cell>
          <cell r="I983">
            <v>4</v>
          </cell>
          <cell r="J983" t="str">
            <v>ГАКБ "Точиксодиротбонк"</v>
          </cell>
          <cell r="K983">
            <v>2720</v>
          </cell>
          <cell r="L983">
            <v>136</v>
          </cell>
          <cell r="M983">
            <v>1</v>
          </cell>
          <cell r="N983">
            <v>2720</v>
          </cell>
        </row>
        <row r="984">
          <cell r="A984">
            <v>2003</v>
          </cell>
          <cell r="B984">
            <v>6</v>
          </cell>
          <cell r="C984">
            <v>3</v>
          </cell>
          <cell r="D984">
            <v>360</v>
          </cell>
          <cell r="E984">
            <v>2</v>
          </cell>
          <cell r="F984" t="str">
            <v>TJS</v>
          </cell>
          <cell r="G984">
            <v>25</v>
          </cell>
          <cell r="H984">
            <v>20890</v>
          </cell>
          <cell r="I984">
            <v>30</v>
          </cell>
          <cell r="J984" t="str">
            <v>ГАКБ "Точиксодиротбонк"</v>
          </cell>
          <cell r="K984">
            <v>522250</v>
          </cell>
          <cell r="L984">
            <v>20890</v>
          </cell>
          <cell r="M984">
            <v>1</v>
          </cell>
          <cell r="N984">
            <v>522250</v>
          </cell>
        </row>
        <row r="985">
          <cell r="A985">
            <v>2003</v>
          </cell>
          <cell r="B985">
            <v>6</v>
          </cell>
          <cell r="C985">
            <v>1</v>
          </cell>
          <cell r="D985">
            <v>0</v>
          </cell>
          <cell r="E985">
            <v>1</v>
          </cell>
          <cell r="F985" t="str">
            <v>USD</v>
          </cell>
          <cell r="G985">
            <v>0</v>
          </cell>
          <cell r="H985">
            <v>30036720</v>
          </cell>
          <cell r="I985">
            <v>346</v>
          </cell>
          <cell r="J985" t="str">
            <v>ГАКБ "Точиксодиротбонк"</v>
          </cell>
          <cell r="K985">
            <v>0</v>
          </cell>
          <cell r="L985">
            <v>30036720</v>
          </cell>
          <cell r="M985">
            <v>1</v>
          </cell>
          <cell r="N985">
            <v>0</v>
          </cell>
        </row>
        <row r="986">
          <cell r="A986">
            <v>2003</v>
          </cell>
          <cell r="B986">
            <v>6</v>
          </cell>
          <cell r="C986">
            <v>1</v>
          </cell>
          <cell r="D986">
            <v>0</v>
          </cell>
          <cell r="E986">
            <v>2</v>
          </cell>
          <cell r="F986" t="str">
            <v>USD</v>
          </cell>
          <cell r="G986">
            <v>0</v>
          </cell>
          <cell r="H986">
            <v>2477843</v>
          </cell>
          <cell r="I986">
            <v>54</v>
          </cell>
          <cell r="J986" t="str">
            <v>ГАКБ "Точиксодиротбонк"</v>
          </cell>
          <cell r="K986">
            <v>0</v>
          </cell>
          <cell r="L986">
            <v>2477843</v>
          </cell>
          <cell r="M986">
            <v>1</v>
          </cell>
          <cell r="N986">
            <v>0</v>
          </cell>
        </row>
        <row r="987">
          <cell r="A987">
            <v>2003</v>
          </cell>
          <cell r="B987">
            <v>6</v>
          </cell>
          <cell r="C987">
            <v>3</v>
          </cell>
          <cell r="D987">
            <v>0</v>
          </cell>
          <cell r="E987">
            <v>2</v>
          </cell>
          <cell r="F987" t="str">
            <v>USD</v>
          </cell>
          <cell r="G987">
            <v>20</v>
          </cell>
          <cell r="H987">
            <v>47591</v>
          </cell>
          <cell r="I987">
            <v>11</v>
          </cell>
          <cell r="J987" t="str">
            <v>ГАКБ "Точиксодиротбонк"</v>
          </cell>
          <cell r="K987">
            <v>951820</v>
          </cell>
          <cell r="L987">
            <v>47591</v>
          </cell>
          <cell r="M987">
            <v>1</v>
          </cell>
          <cell r="N987">
            <v>951820</v>
          </cell>
        </row>
        <row r="988">
          <cell r="A988">
            <v>2003</v>
          </cell>
          <cell r="B988">
            <v>6</v>
          </cell>
          <cell r="C988">
            <v>3</v>
          </cell>
          <cell r="D988">
            <v>360</v>
          </cell>
          <cell r="E988">
            <v>2</v>
          </cell>
          <cell r="F988" t="str">
            <v>USD</v>
          </cell>
          <cell r="G988">
            <v>20</v>
          </cell>
          <cell r="H988">
            <v>436734</v>
          </cell>
          <cell r="I988">
            <v>4</v>
          </cell>
          <cell r="J988" t="str">
            <v>ГАКБ "Точиксодиротбонк"</v>
          </cell>
          <cell r="K988">
            <v>8734680</v>
          </cell>
          <cell r="L988">
            <v>436734</v>
          </cell>
          <cell r="M988">
            <v>1</v>
          </cell>
          <cell r="N988">
            <v>8734680</v>
          </cell>
        </row>
        <row r="989">
          <cell r="A989">
            <v>2003</v>
          </cell>
          <cell r="B989">
            <v>6</v>
          </cell>
          <cell r="C989">
            <v>2</v>
          </cell>
          <cell r="D989">
            <v>90</v>
          </cell>
          <cell r="E989">
            <v>2</v>
          </cell>
          <cell r="F989" t="str">
            <v>USD</v>
          </cell>
          <cell r="G989">
            <v>13</v>
          </cell>
          <cell r="H989">
            <v>566098</v>
          </cell>
          <cell r="I989">
            <v>22</v>
          </cell>
          <cell r="J989" t="str">
            <v>ГАКБ "Точиксодиротбонк"</v>
          </cell>
          <cell r="K989">
            <v>7359274</v>
          </cell>
          <cell r="L989">
            <v>566098</v>
          </cell>
          <cell r="M989">
            <v>1</v>
          </cell>
          <cell r="N989">
            <v>7359274</v>
          </cell>
        </row>
        <row r="990">
          <cell r="A990">
            <v>2003</v>
          </cell>
          <cell r="B990">
            <v>6</v>
          </cell>
          <cell r="C990">
            <v>2</v>
          </cell>
          <cell r="D990">
            <v>120</v>
          </cell>
          <cell r="E990">
            <v>2</v>
          </cell>
          <cell r="F990" t="str">
            <v>USD</v>
          </cell>
          <cell r="G990">
            <v>25</v>
          </cell>
          <cell r="H990">
            <v>32687</v>
          </cell>
          <cell r="I990">
            <v>1</v>
          </cell>
          <cell r="J990" t="str">
            <v>ГАКБ "Точиксодиротбонк"</v>
          </cell>
          <cell r="K990">
            <v>817175</v>
          </cell>
          <cell r="L990">
            <v>32687</v>
          </cell>
          <cell r="M990">
            <v>1</v>
          </cell>
          <cell r="N990">
            <v>817175</v>
          </cell>
        </row>
        <row r="991">
          <cell r="A991">
            <v>2003</v>
          </cell>
          <cell r="B991">
            <v>6</v>
          </cell>
          <cell r="C991">
            <v>2</v>
          </cell>
          <cell r="D991">
            <v>180</v>
          </cell>
          <cell r="E991">
            <v>2</v>
          </cell>
          <cell r="F991" t="str">
            <v>USD</v>
          </cell>
          <cell r="G991">
            <v>9</v>
          </cell>
          <cell r="H991">
            <v>353</v>
          </cell>
          <cell r="I991">
            <v>1</v>
          </cell>
          <cell r="J991" t="str">
            <v>ГАКБ "Точиксодиротбонк"</v>
          </cell>
          <cell r="K991">
            <v>3177</v>
          </cell>
          <cell r="L991">
            <v>353</v>
          </cell>
          <cell r="M991">
            <v>1</v>
          </cell>
          <cell r="N991">
            <v>3177</v>
          </cell>
        </row>
        <row r="992">
          <cell r="A992">
            <v>2003</v>
          </cell>
          <cell r="B992">
            <v>6</v>
          </cell>
          <cell r="C992">
            <v>2</v>
          </cell>
          <cell r="D992">
            <v>360</v>
          </cell>
          <cell r="E992">
            <v>2</v>
          </cell>
          <cell r="F992" t="str">
            <v>USD</v>
          </cell>
          <cell r="G992">
            <v>6</v>
          </cell>
          <cell r="H992">
            <v>950</v>
          </cell>
          <cell r="I992">
            <v>2</v>
          </cell>
          <cell r="J992" t="str">
            <v>ГАКБ "Точиксодиротбонк"</v>
          </cell>
          <cell r="K992">
            <v>5700</v>
          </cell>
          <cell r="L992">
            <v>950</v>
          </cell>
          <cell r="M992">
            <v>1</v>
          </cell>
          <cell r="N992">
            <v>5700</v>
          </cell>
        </row>
        <row r="993">
          <cell r="A993">
            <v>2003</v>
          </cell>
          <cell r="B993">
            <v>6</v>
          </cell>
          <cell r="C993">
            <v>2</v>
          </cell>
          <cell r="D993">
            <v>360</v>
          </cell>
          <cell r="E993">
            <v>2</v>
          </cell>
          <cell r="F993" t="str">
            <v>USD</v>
          </cell>
          <cell r="G993">
            <v>10.5</v>
          </cell>
          <cell r="H993">
            <v>826</v>
          </cell>
          <cell r="I993">
            <v>1</v>
          </cell>
          <cell r="J993" t="str">
            <v>ГАКБ "Точиксодиротбонк"</v>
          </cell>
          <cell r="K993">
            <v>8673</v>
          </cell>
          <cell r="L993">
            <v>826</v>
          </cell>
          <cell r="M993">
            <v>1</v>
          </cell>
          <cell r="N993">
            <v>8673</v>
          </cell>
        </row>
        <row r="994">
          <cell r="A994">
            <v>2003</v>
          </cell>
          <cell r="B994">
            <v>6</v>
          </cell>
          <cell r="C994">
            <v>2</v>
          </cell>
          <cell r="D994">
            <v>360</v>
          </cell>
          <cell r="E994">
            <v>2</v>
          </cell>
          <cell r="F994" t="str">
            <v>USD</v>
          </cell>
          <cell r="G994">
            <v>12</v>
          </cell>
          <cell r="H994">
            <v>47077</v>
          </cell>
          <cell r="I994">
            <v>5</v>
          </cell>
          <cell r="J994" t="str">
            <v>ГАКБ "Точиксодиротбонк"</v>
          </cell>
          <cell r="K994">
            <v>564924</v>
          </cell>
          <cell r="L994">
            <v>47077</v>
          </cell>
          <cell r="M994">
            <v>1</v>
          </cell>
          <cell r="N994">
            <v>564924</v>
          </cell>
        </row>
        <row r="995">
          <cell r="A995">
            <v>2003</v>
          </cell>
          <cell r="B995">
            <v>6</v>
          </cell>
          <cell r="C995">
            <v>2</v>
          </cell>
          <cell r="D995">
            <v>360</v>
          </cell>
          <cell r="E995">
            <v>2</v>
          </cell>
          <cell r="F995" t="str">
            <v>USD</v>
          </cell>
          <cell r="G995">
            <v>15</v>
          </cell>
          <cell r="H995">
            <v>105516</v>
          </cell>
          <cell r="I995">
            <v>13</v>
          </cell>
          <cell r="J995" t="str">
            <v>ГАКБ "Точиксодиротбонк"</v>
          </cell>
          <cell r="K995">
            <v>1582740</v>
          </cell>
          <cell r="L995">
            <v>105516</v>
          </cell>
          <cell r="M995">
            <v>1</v>
          </cell>
          <cell r="N995">
            <v>1582740</v>
          </cell>
        </row>
        <row r="996">
          <cell r="A996">
            <v>2003</v>
          </cell>
          <cell r="B996">
            <v>6</v>
          </cell>
          <cell r="C996">
            <v>2</v>
          </cell>
          <cell r="D996">
            <v>360</v>
          </cell>
          <cell r="E996">
            <v>2</v>
          </cell>
          <cell r="F996" t="str">
            <v>USD</v>
          </cell>
          <cell r="G996">
            <v>18</v>
          </cell>
          <cell r="H996">
            <v>55045</v>
          </cell>
          <cell r="I996">
            <v>12</v>
          </cell>
          <cell r="J996" t="str">
            <v>ГАКБ "Точиксодиротбонк"</v>
          </cell>
          <cell r="K996">
            <v>990810</v>
          </cell>
          <cell r="L996">
            <v>55045</v>
          </cell>
          <cell r="M996">
            <v>1</v>
          </cell>
          <cell r="N996">
            <v>990810</v>
          </cell>
        </row>
        <row r="997">
          <cell r="A997">
            <v>2003</v>
          </cell>
          <cell r="B997">
            <v>6</v>
          </cell>
          <cell r="C997">
            <v>2</v>
          </cell>
          <cell r="D997">
            <v>360</v>
          </cell>
          <cell r="E997">
            <v>2</v>
          </cell>
          <cell r="F997" t="str">
            <v>USD</v>
          </cell>
          <cell r="G997">
            <v>20</v>
          </cell>
          <cell r="H997">
            <v>9800</v>
          </cell>
          <cell r="I997">
            <v>3</v>
          </cell>
          <cell r="J997" t="str">
            <v>ГАКБ "Точиксодиротбонк"</v>
          </cell>
          <cell r="K997">
            <v>196000</v>
          </cell>
          <cell r="L997">
            <v>9800</v>
          </cell>
          <cell r="M997">
            <v>1</v>
          </cell>
          <cell r="N997">
            <v>196000</v>
          </cell>
        </row>
        <row r="998">
          <cell r="A998">
            <v>2003</v>
          </cell>
          <cell r="B998">
            <v>6</v>
          </cell>
          <cell r="C998">
            <v>2</v>
          </cell>
          <cell r="D998">
            <v>540</v>
          </cell>
          <cell r="E998">
            <v>2</v>
          </cell>
          <cell r="F998" t="str">
            <v>USD</v>
          </cell>
          <cell r="G998">
            <v>12</v>
          </cell>
          <cell r="H998">
            <v>12669</v>
          </cell>
          <cell r="I998">
            <v>1</v>
          </cell>
          <cell r="J998" t="str">
            <v>ГАКБ "Точиксодиротбонк"</v>
          </cell>
          <cell r="K998">
            <v>152028</v>
          </cell>
          <cell r="L998">
            <v>12669</v>
          </cell>
          <cell r="M998">
            <v>1</v>
          </cell>
          <cell r="N998">
            <v>152028</v>
          </cell>
        </row>
        <row r="999">
          <cell r="A999">
            <v>2003</v>
          </cell>
          <cell r="B999">
            <v>6</v>
          </cell>
          <cell r="C999">
            <v>2</v>
          </cell>
          <cell r="D999">
            <v>600</v>
          </cell>
          <cell r="E999">
            <v>2</v>
          </cell>
          <cell r="F999" t="str">
            <v>USD</v>
          </cell>
          <cell r="G999">
            <v>20</v>
          </cell>
          <cell r="H999">
            <v>44565</v>
          </cell>
          <cell r="I999">
            <v>2</v>
          </cell>
          <cell r="J999" t="str">
            <v>ГАКБ "Точиксодиротбонк"</v>
          </cell>
          <cell r="K999">
            <v>891300</v>
          </cell>
          <cell r="L999">
            <v>44565</v>
          </cell>
          <cell r="M999">
            <v>1</v>
          </cell>
          <cell r="N999">
            <v>891300</v>
          </cell>
        </row>
        <row r="1000">
          <cell r="A1000">
            <v>2003</v>
          </cell>
          <cell r="B1000">
            <v>6</v>
          </cell>
          <cell r="C1000">
            <v>2</v>
          </cell>
          <cell r="D1000">
            <v>600</v>
          </cell>
          <cell r="E1000">
            <v>2</v>
          </cell>
          <cell r="F1000" t="str">
            <v>USD</v>
          </cell>
          <cell r="G1000">
            <v>21</v>
          </cell>
          <cell r="H1000">
            <v>8316</v>
          </cell>
          <cell r="I1000">
            <v>24</v>
          </cell>
          <cell r="J1000" t="str">
            <v>ГАКБ "Точиксодиротбонк"</v>
          </cell>
          <cell r="K1000">
            <v>174636</v>
          </cell>
          <cell r="L1000">
            <v>8316</v>
          </cell>
          <cell r="M1000">
            <v>1</v>
          </cell>
          <cell r="N1000">
            <v>174636</v>
          </cell>
        </row>
        <row r="1001">
          <cell r="A1001">
            <v>2003</v>
          </cell>
          <cell r="B1001">
            <v>6</v>
          </cell>
          <cell r="C1001">
            <v>2</v>
          </cell>
          <cell r="D1001">
            <v>720</v>
          </cell>
          <cell r="E1001">
            <v>2</v>
          </cell>
          <cell r="F1001" t="str">
            <v>USD</v>
          </cell>
          <cell r="G1001">
            <v>18</v>
          </cell>
          <cell r="H1001">
            <v>2699</v>
          </cell>
          <cell r="I1001">
            <v>19</v>
          </cell>
          <cell r="J1001" t="str">
            <v>ГАКБ "Точиксодиротбонк"</v>
          </cell>
          <cell r="K1001">
            <v>48582</v>
          </cell>
          <cell r="L1001">
            <v>2699</v>
          </cell>
          <cell r="M1001">
            <v>1</v>
          </cell>
          <cell r="N1001">
            <v>48582</v>
          </cell>
        </row>
        <row r="1002">
          <cell r="A1002">
            <v>2003</v>
          </cell>
          <cell r="B1002">
            <v>6</v>
          </cell>
          <cell r="C1002">
            <v>2</v>
          </cell>
          <cell r="D1002">
            <v>720</v>
          </cell>
          <cell r="E1002">
            <v>2</v>
          </cell>
          <cell r="F1002" t="str">
            <v>USD</v>
          </cell>
          <cell r="G1002">
            <v>20</v>
          </cell>
          <cell r="H1002">
            <v>62851</v>
          </cell>
          <cell r="I1002">
            <v>95</v>
          </cell>
          <cell r="J1002" t="str">
            <v>ГАКБ "Точиксодиротбонк"</v>
          </cell>
          <cell r="K1002">
            <v>1257020</v>
          </cell>
          <cell r="L1002">
            <v>62851</v>
          </cell>
          <cell r="M1002">
            <v>1</v>
          </cell>
          <cell r="N1002">
            <v>1257020</v>
          </cell>
        </row>
        <row r="1003">
          <cell r="A1003">
            <v>2003</v>
          </cell>
          <cell r="B1003">
            <v>6</v>
          </cell>
          <cell r="C1003">
            <v>2</v>
          </cell>
          <cell r="D1003">
            <v>720</v>
          </cell>
          <cell r="E1003">
            <v>2</v>
          </cell>
          <cell r="F1003" t="str">
            <v>USD</v>
          </cell>
          <cell r="G1003">
            <v>21</v>
          </cell>
          <cell r="H1003">
            <v>26696</v>
          </cell>
          <cell r="I1003">
            <v>28</v>
          </cell>
          <cell r="J1003" t="str">
            <v>ГАКБ "Точиксодиротбонк"</v>
          </cell>
          <cell r="K1003">
            <v>560616</v>
          </cell>
          <cell r="L1003">
            <v>26696</v>
          </cell>
          <cell r="M1003">
            <v>1</v>
          </cell>
          <cell r="N1003">
            <v>560616</v>
          </cell>
        </row>
        <row r="1004">
          <cell r="A1004">
            <v>2003</v>
          </cell>
          <cell r="B1004">
            <v>6</v>
          </cell>
          <cell r="C1004">
            <v>1</v>
          </cell>
          <cell r="D1004">
            <v>0</v>
          </cell>
          <cell r="E1004">
            <v>1</v>
          </cell>
          <cell r="F1004" t="str">
            <v>EURO</v>
          </cell>
          <cell r="G1004">
            <v>0</v>
          </cell>
          <cell r="H1004">
            <v>1406</v>
          </cell>
          <cell r="I1004">
            <v>1</v>
          </cell>
          <cell r="J1004" t="str">
            <v>ГАКБ "Точиксодиротбонк"</v>
          </cell>
          <cell r="K1004">
            <v>0</v>
          </cell>
          <cell r="L1004">
            <v>1406</v>
          </cell>
          <cell r="M1004">
            <v>1</v>
          </cell>
          <cell r="N1004">
            <v>0</v>
          </cell>
        </row>
        <row r="1005">
          <cell r="A1005">
            <v>2003</v>
          </cell>
          <cell r="B1005">
            <v>6</v>
          </cell>
          <cell r="C1005">
            <v>1</v>
          </cell>
          <cell r="D1005">
            <v>0</v>
          </cell>
          <cell r="E1005">
            <v>2</v>
          </cell>
          <cell r="F1005" t="str">
            <v>EURO</v>
          </cell>
          <cell r="G1005">
            <v>0</v>
          </cell>
          <cell r="H1005">
            <v>143964</v>
          </cell>
          <cell r="I1005">
            <v>2</v>
          </cell>
          <cell r="J1005" t="str">
            <v>ГАКБ "Точиксодиротбонк"</v>
          </cell>
          <cell r="K1005">
            <v>0</v>
          </cell>
          <cell r="L1005">
            <v>143964</v>
          </cell>
          <cell r="M1005">
            <v>1</v>
          </cell>
          <cell r="N1005">
            <v>0</v>
          </cell>
        </row>
        <row r="1006">
          <cell r="A1006">
            <v>2003</v>
          </cell>
          <cell r="B1006">
            <v>6</v>
          </cell>
          <cell r="C1006">
            <v>1</v>
          </cell>
          <cell r="D1006">
            <v>0</v>
          </cell>
          <cell r="E1006">
            <v>1</v>
          </cell>
          <cell r="F1006" t="str">
            <v>RUR</v>
          </cell>
          <cell r="G1006">
            <v>0</v>
          </cell>
          <cell r="H1006">
            <v>292602</v>
          </cell>
          <cell r="I1006">
            <v>26</v>
          </cell>
          <cell r="J1006" t="str">
            <v>ГАКБ "Точиксодиротбонк"</v>
          </cell>
          <cell r="K1006">
            <v>0</v>
          </cell>
          <cell r="L1006">
            <v>292602</v>
          </cell>
          <cell r="M1006">
            <v>1</v>
          </cell>
          <cell r="N1006">
            <v>0</v>
          </cell>
        </row>
        <row r="1007">
          <cell r="A1007">
            <v>2003</v>
          </cell>
          <cell r="B1007">
            <v>6</v>
          </cell>
          <cell r="C1007">
            <v>1</v>
          </cell>
          <cell r="D1007">
            <v>0</v>
          </cell>
          <cell r="E1007">
            <v>1</v>
          </cell>
          <cell r="F1007" t="str">
            <v>TJS</v>
          </cell>
          <cell r="G1007">
            <v>2</v>
          </cell>
          <cell r="H1007">
            <v>23089003</v>
          </cell>
          <cell r="I1007">
            <v>3428</v>
          </cell>
          <cell r="J1007" t="str">
            <v>ГСБ "Амонатбанк"</v>
          </cell>
          <cell r="K1007">
            <v>46178006</v>
          </cell>
          <cell r="L1007">
            <v>23089003</v>
          </cell>
          <cell r="M1007">
            <v>1</v>
          </cell>
          <cell r="N1007">
            <v>46178006</v>
          </cell>
        </row>
        <row r="1008">
          <cell r="A1008">
            <v>2003</v>
          </cell>
          <cell r="B1008">
            <v>6</v>
          </cell>
          <cell r="C1008">
            <v>1</v>
          </cell>
          <cell r="D1008">
            <v>0</v>
          </cell>
          <cell r="E1008">
            <v>1</v>
          </cell>
          <cell r="F1008" t="str">
            <v>TJS</v>
          </cell>
          <cell r="G1008">
            <v>2.4</v>
          </cell>
          <cell r="H1008">
            <v>71307616</v>
          </cell>
          <cell r="I1008">
            <v>1712</v>
          </cell>
          <cell r="J1008" t="str">
            <v>ГСБ "Амонатбанк"</v>
          </cell>
          <cell r="K1008">
            <v>171138278.4</v>
          </cell>
          <cell r="L1008">
            <v>71307616</v>
          </cell>
          <cell r="M1008">
            <v>1</v>
          </cell>
          <cell r="N1008">
            <v>171138278.4</v>
          </cell>
        </row>
        <row r="1009">
          <cell r="A1009">
            <v>2003</v>
          </cell>
          <cell r="B1009">
            <v>6</v>
          </cell>
          <cell r="C1009">
            <v>2</v>
          </cell>
          <cell r="D1009">
            <v>90</v>
          </cell>
          <cell r="E1009">
            <v>2</v>
          </cell>
          <cell r="F1009" t="str">
            <v>TJS</v>
          </cell>
          <cell r="G1009">
            <v>15</v>
          </cell>
          <cell r="H1009">
            <v>185394</v>
          </cell>
          <cell r="I1009">
            <v>46</v>
          </cell>
          <cell r="J1009" t="str">
            <v>ГСБ "Амонатбанк"</v>
          </cell>
          <cell r="K1009">
            <v>2780910</v>
          </cell>
          <cell r="L1009">
            <v>185394</v>
          </cell>
          <cell r="M1009">
            <v>1</v>
          </cell>
          <cell r="N1009">
            <v>2780910</v>
          </cell>
        </row>
        <row r="1010">
          <cell r="A1010">
            <v>2003</v>
          </cell>
          <cell r="B1010">
            <v>6</v>
          </cell>
          <cell r="C1010">
            <v>2</v>
          </cell>
          <cell r="D1010">
            <v>180</v>
          </cell>
          <cell r="E1010">
            <v>2</v>
          </cell>
          <cell r="F1010" t="str">
            <v>TJS</v>
          </cell>
          <cell r="G1010">
            <v>18</v>
          </cell>
          <cell r="H1010">
            <v>44872</v>
          </cell>
          <cell r="I1010">
            <v>6</v>
          </cell>
          <cell r="J1010" t="str">
            <v>ГСБ "Амонатбанк"</v>
          </cell>
          <cell r="K1010">
            <v>807696</v>
          </cell>
          <cell r="L1010">
            <v>44872</v>
          </cell>
          <cell r="M1010">
            <v>1</v>
          </cell>
          <cell r="N1010">
            <v>807696</v>
          </cell>
        </row>
        <row r="1011">
          <cell r="A1011">
            <v>2003</v>
          </cell>
          <cell r="B1011">
            <v>6</v>
          </cell>
          <cell r="C1011">
            <v>2</v>
          </cell>
          <cell r="D1011">
            <v>360</v>
          </cell>
          <cell r="E1011">
            <v>2</v>
          </cell>
          <cell r="F1011" t="str">
            <v>TJS</v>
          </cell>
          <cell r="G1011">
            <v>24</v>
          </cell>
          <cell r="H1011">
            <v>284113</v>
          </cell>
          <cell r="I1011">
            <v>32</v>
          </cell>
          <cell r="J1011" t="str">
            <v>ГСБ "Амонатбанк"</v>
          </cell>
          <cell r="K1011">
            <v>6818712</v>
          </cell>
          <cell r="L1011">
            <v>284113</v>
          </cell>
          <cell r="M1011">
            <v>1</v>
          </cell>
          <cell r="N1011">
            <v>6818712</v>
          </cell>
        </row>
        <row r="1012">
          <cell r="A1012">
            <v>2003</v>
          </cell>
          <cell r="B1012">
            <v>6</v>
          </cell>
          <cell r="C1012">
            <v>2</v>
          </cell>
          <cell r="D1012">
            <v>1080</v>
          </cell>
          <cell r="E1012">
            <v>2</v>
          </cell>
          <cell r="F1012" t="str">
            <v>TJS</v>
          </cell>
          <cell r="G1012">
            <v>30</v>
          </cell>
          <cell r="H1012">
            <v>74507</v>
          </cell>
          <cell r="I1012">
            <v>14</v>
          </cell>
          <cell r="J1012" t="str">
            <v>ГСБ "Амонатбанк"</v>
          </cell>
          <cell r="K1012">
            <v>2235210</v>
          </cell>
          <cell r="L1012">
            <v>74507</v>
          </cell>
          <cell r="M1012">
            <v>1</v>
          </cell>
          <cell r="N1012">
            <v>2235210</v>
          </cell>
        </row>
        <row r="1013">
          <cell r="A1013">
            <v>2003</v>
          </cell>
          <cell r="B1013">
            <v>6</v>
          </cell>
          <cell r="C1013">
            <v>2</v>
          </cell>
          <cell r="D1013">
            <v>360</v>
          </cell>
          <cell r="E1013">
            <v>2</v>
          </cell>
          <cell r="F1013" t="str">
            <v>TJS</v>
          </cell>
          <cell r="G1013">
            <v>2</v>
          </cell>
          <cell r="H1013">
            <v>2</v>
          </cell>
          <cell r="I1013">
            <v>1</v>
          </cell>
          <cell r="J1013" t="str">
            <v>ГСБ "Амонатбанк"</v>
          </cell>
          <cell r="K1013">
            <v>4</v>
          </cell>
          <cell r="L1013">
            <v>2</v>
          </cell>
          <cell r="M1013">
            <v>1</v>
          </cell>
          <cell r="N1013">
            <v>4</v>
          </cell>
        </row>
        <row r="1014">
          <cell r="A1014">
            <v>2003</v>
          </cell>
          <cell r="B1014">
            <v>6</v>
          </cell>
          <cell r="C1014">
            <v>3</v>
          </cell>
          <cell r="D1014">
            <v>360</v>
          </cell>
          <cell r="E1014">
            <v>2</v>
          </cell>
          <cell r="F1014" t="str">
            <v>TJS</v>
          </cell>
          <cell r="G1014">
            <v>2</v>
          </cell>
          <cell r="H1014">
            <v>1926093</v>
          </cell>
          <cell r="I1014">
            <v>25102</v>
          </cell>
          <cell r="J1014" t="str">
            <v>ГСБ "Амонатбанк"</v>
          </cell>
          <cell r="K1014">
            <v>3852186</v>
          </cell>
          <cell r="L1014">
            <v>1926093</v>
          </cell>
          <cell r="M1014">
            <v>1</v>
          </cell>
          <cell r="N1014">
            <v>3852186</v>
          </cell>
        </row>
        <row r="1015">
          <cell r="A1015">
            <v>2003</v>
          </cell>
          <cell r="B1015">
            <v>6</v>
          </cell>
          <cell r="C1015">
            <v>1</v>
          </cell>
          <cell r="D1015">
            <v>0</v>
          </cell>
          <cell r="E1015">
            <v>1</v>
          </cell>
          <cell r="F1015" t="str">
            <v>RUR</v>
          </cell>
          <cell r="G1015">
            <v>0</v>
          </cell>
          <cell r="H1015">
            <v>489335</v>
          </cell>
          <cell r="I1015">
            <v>23</v>
          </cell>
          <cell r="J1015" t="str">
            <v>ГСБ "Амонатбанк"</v>
          </cell>
          <cell r="K1015">
            <v>0</v>
          </cell>
          <cell r="L1015">
            <v>489335</v>
          </cell>
          <cell r="M1015">
            <v>1</v>
          </cell>
          <cell r="N1015">
            <v>0</v>
          </cell>
        </row>
        <row r="1016">
          <cell r="A1016">
            <v>2003</v>
          </cell>
          <cell r="B1016">
            <v>6</v>
          </cell>
          <cell r="C1016">
            <v>1</v>
          </cell>
          <cell r="D1016">
            <v>0</v>
          </cell>
          <cell r="E1016">
            <v>1</v>
          </cell>
          <cell r="F1016" t="str">
            <v>RUR</v>
          </cell>
          <cell r="G1016">
            <v>0</v>
          </cell>
          <cell r="H1016">
            <v>12</v>
          </cell>
          <cell r="I1016">
            <v>10</v>
          </cell>
          <cell r="J1016" t="str">
            <v>ГСБ "Амонатбанк"</v>
          </cell>
          <cell r="K1016">
            <v>0</v>
          </cell>
          <cell r="L1016">
            <v>12</v>
          </cell>
          <cell r="M1016">
            <v>1</v>
          </cell>
          <cell r="N1016">
            <v>0</v>
          </cell>
        </row>
        <row r="1017">
          <cell r="A1017">
            <v>2003</v>
          </cell>
          <cell r="B1017">
            <v>6</v>
          </cell>
          <cell r="C1017">
            <v>1</v>
          </cell>
          <cell r="D1017">
            <v>0</v>
          </cell>
          <cell r="E1017">
            <v>2</v>
          </cell>
          <cell r="F1017" t="str">
            <v>USD</v>
          </cell>
          <cell r="G1017">
            <v>0</v>
          </cell>
          <cell r="H1017">
            <v>5846267</v>
          </cell>
          <cell r="I1017">
            <v>105</v>
          </cell>
          <cell r="J1017" t="str">
            <v>ГСБ "Амонатбанк"</v>
          </cell>
          <cell r="K1017">
            <v>0</v>
          </cell>
          <cell r="L1017">
            <v>5846267</v>
          </cell>
          <cell r="M1017">
            <v>1</v>
          </cell>
          <cell r="N1017">
            <v>0</v>
          </cell>
        </row>
        <row r="1018">
          <cell r="A1018">
            <v>2003</v>
          </cell>
          <cell r="B1018">
            <v>6</v>
          </cell>
          <cell r="C1018">
            <v>1</v>
          </cell>
          <cell r="D1018">
            <v>0</v>
          </cell>
          <cell r="E1018">
            <v>2</v>
          </cell>
          <cell r="F1018" t="str">
            <v>USD</v>
          </cell>
          <cell r="G1018">
            <v>0</v>
          </cell>
          <cell r="H1018">
            <v>36326</v>
          </cell>
          <cell r="I1018">
            <v>14</v>
          </cell>
          <cell r="J1018" t="str">
            <v>ГСБ "Амонатбанк"</v>
          </cell>
          <cell r="K1018">
            <v>0</v>
          </cell>
          <cell r="L1018">
            <v>36326</v>
          </cell>
          <cell r="M1018">
            <v>1</v>
          </cell>
          <cell r="N1018">
            <v>0</v>
          </cell>
        </row>
        <row r="1019">
          <cell r="A1019">
            <v>2003</v>
          </cell>
          <cell r="B1019">
            <v>6</v>
          </cell>
          <cell r="C1019">
            <v>2</v>
          </cell>
          <cell r="D1019">
            <v>90</v>
          </cell>
          <cell r="E1019">
            <v>2</v>
          </cell>
          <cell r="F1019" t="str">
            <v>USD</v>
          </cell>
          <cell r="G1019">
            <v>6</v>
          </cell>
          <cell r="H1019">
            <v>105365</v>
          </cell>
          <cell r="I1019">
            <v>5</v>
          </cell>
          <cell r="J1019" t="str">
            <v>ГСБ "Амонатбанк"</v>
          </cell>
          <cell r="K1019">
            <v>632190</v>
          </cell>
          <cell r="L1019">
            <v>105365</v>
          </cell>
          <cell r="M1019">
            <v>1</v>
          </cell>
          <cell r="N1019">
            <v>632190</v>
          </cell>
        </row>
        <row r="1020">
          <cell r="A1020">
            <v>2003</v>
          </cell>
          <cell r="B1020">
            <v>6</v>
          </cell>
          <cell r="C1020">
            <v>2</v>
          </cell>
          <cell r="D1020">
            <v>180</v>
          </cell>
          <cell r="E1020">
            <v>2</v>
          </cell>
          <cell r="F1020" t="str">
            <v>USD</v>
          </cell>
          <cell r="G1020">
            <v>7</v>
          </cell>
          <cell r="H1020">
            <v>4</v>
          </cell>
          <cell r="I1020">
            <v>1</v>
          </cell>
          <cell r="J1020" t="str">
            <v>ГСБ "Амонатбанк"</v>
          </cell>
          <cell r="K1020">
            <v>28</v>
          </cell>
          <cell r="L1020">
            <v>4</v>
          </cell>
          <cell r="M1020">
            <v>1</v>
          </cell>
          <cell r="N1020">
            <v>28</v>
          </cell>
        </row>
        <row r="1021">
          <cell r="A1021">
            <v>2003</v>
          </cell>
          <cell r="B1021">
            <v>6</v>
          </cell>
          <cell r="C1021">
            <v>2</v>
          </cell>
          <cell r="D1021">
            <v>360</v>
          </cell>
          <cell r="E1021">
            <v>2</v>
          </cell>
          <cell r="F1021" t="str">
            <v>USD</v>
          </cell>
          <cell r="G1021">
            <v>12</v>
          </cell>
          <cell r="H1021">
            <v>419644</v>
          </cell>
          <cell r="I1021">
            <v>12</v>
          </cell>
          <cell r="J1021" t="str">
            <v>ГСБ "Амонатбанк"</v>
          </cell>
          <cell r="K1021">
            <v>5035728</v>
          </cell>
          <cell r="L1021">
            <v>419644</v>
          </cell>
          <cell r="M1021">
            <v>1</v>
          </cell>
          <cell r="N1021">
            <v>5035728</v>
          </cell>
        </row>
        <row r="1022">
          <cell r="A1022">
            <v>2003</v>
          </cell>
          <cell r="B1022">
            <v>6</v>
          </cell>
          <cell r="C1022">
            <v>2</v>
          </cell>
          <cell r="D1022">
            <v>1080</v>
          </cell>
          <cell r="E1022">
            <v>2</v>
          </cell>
          <cell r="F1022" t="str">
            <v>USD</v>
          </cell>
          <cell r="G1022">
            <v>15</v>
          </cell>
          <cell r="H1022">
            <v>9794</v>
          </cell>
          <cell r="I1022">
            <v>24</v>
          </cell>
          <cell r="J1022" t="str">
            <v>ГСБ "Амонатбанк"</v>
          </cell>
          <cell r="K1022">
            <v>146910</v>
          </cell>
          <cell r="L1022">
            <v>9794</v>
          </cell>
          <cell r="M1022">
            <v>1</v>
          </cell>
          <cell r="N1022">
            <v>146910</v>
          </cell>
        </row>
        <row r="1023">
          <cell r="A1023">
            <v>2003</v>
          </cell>
          <cell r="B1023">
            <v>6</v>
          </cell>
          <cell r="C1023">
            <v>1</v>
          </cell>
          <cell r="D1023">
            <v>0</v>
          </cell>
          <cell r="E1023">
            <v>1</v>
          </cell>
          <cell r="F1023" t="str">
            <v>EURO</v>
          </cell>
          <cell r="G1023">
            <v>0</v>
          </cell>
          <cell r="H1023">
            <v>2</v>
          </cell>
          <cell r="I1023">
            <v>3</v>
          </cell>
          <cell r="J1023" t="str">
            <v>ГСБ "Амонатбанк"</v>
          </cell>
          <cell r="K1023">
            <v>0</v>
          </cell>
          <cell r="L1023">
            <v>2</v>
          </cell>
          <cell r="M1023">
            <v>1</v>
          </cell>
          <cell r="N1023">
            <v>0</v>
          </cell>
        </row>
        <row r="1024">
          <cell r="A1024">
            <v>2003</v>
          </cell>
          <cell r="B1024">
            <v>6</v>
          </cell>
          <cell r="C1024">
            <v>1</v>
          </cell>
          <cell r="D1024">
            <v>0</v>
          </cell>
          <cell r="E1024">
            <v>1</v>
          </cell>
          <cell r="F1024" t="str">
            <v>TJS</v>
          </cell>
          <cell r="G1024">
            <v>0</v>
          </cell>
          <cell r="H1024">
            <v>133810</v>
          </cell>
          <cell r="I1024">
            <v>11</v>
          </cell>
          <cell r="J1024" t="str">
            <v>КТОО "Фонон"</v>
          </cell>
          <cell r="K1024">
            <v>0</v>
          </cell>
          <cell r="L1024">
            <v>133810</v>
          </cell>
          <cell r="M1024">
            <v>1</v>
          </cell>
          <cell r="N1024">
            <v>0</v>
          </cell>
        </row>
        <row r="1025">
          <cell r="A1025">
            <v>2003</v>
          </cell>
          <cell r="B1025">
            <v>6</v>
          </cell>
          <cell r="C1025">
            <v>1</v>
          </cell>
          <cell r="D1025">
            <v>0</v>
          </cell>
          <cell r="E1025">
            <v>2</v>
          </cell>
          <cell r="F1025" t="str">
            <v>TJS</v>
          </cell>
          <cell r="G1025">
            <v>0</v>
          </cell>
          <cell r="H1025">
            <v>1194</v>
          </cell>
          <cell r="I1025">
            <v>1</v>
          </cell>
          <cell r="J1025" t="str">
            <v>КТОО "Фонон"</v>
          </cell>
          <cell r="K1025">
            <v>0</v>
          </cell>
          <cell r="L1025">
            <v>1194</v>
          </cell>
          <cell r="M1025">
            <v>1</v>
          </cell>
          <cell r="N1025">
            <v>0</v>
          </cell>
        </row>
        <row r="1026">
          <cell r="A1026">
            <v>2003</v>
          </cell>
          <cell r="B1026">
            <v>6</v>
          </cell>
          <cell r="C1026">
            <v>1</v>
          </cell>
          <cell r="D1026">
            <v>0</v>
          </cell>
          <cell r="E1026">
            <v>1</v>
          </cell>
          <cell r="F1026" t="str">
            <v>TJS</v>
          </cell>
          <cell r="G1026">
            <v>0</v>
          </cell>
          <cell r="H1026">
            <v>511353</v>
          </cell>
          <cell r="I1026">
            <v>18</v>
          </cell>
          <cell r="J1026" t="str">
            <v>СТК "Центрально-Азиатский банк"</v>
          </cell>
          <cell r="K1026">
            <v>0</v>
          </cell>
          <cell r="L1026">
            <v>511353</v>
          </cell>
          <cell r="M1026">
            <v>1</v>
          </cell>
          <cell r="N1026">
            <v>0</v>
          </cell>
        </row>
        <row r="1027">
          <cell r="A1027">
            <v>2003</v>
          </cell>
          <cell r="B1027">
            <v>6</v>
          </cell>
          <cell r="C1027">
            <v>3</v>
          </cell>
          <cell r="D1027">
            <v>0</v>
          </cell>
          <cell r="E1027">
            <v>2</v>
          </cell>
          <cell r="F1027" t="str">
            <v>TJS</v>
          </cell>
          <cell r="G1027">
            <v>0</v>
          </cell>
          <cell r="H1027">
            <v>12300</v>
          </cell>
          <cell r="I1027">
            <v>3</v>
          </cell>
          <cell r="J1027" t="str">
            <v>СТК "Центрально-Азиатский банк"</v>
          </cell>
          <cell r="K1027">
            <v>0</v>
          </cell>
          <cell r="L1027">
            <v>12300</v>
          </cell>
          <cell r="M1027">
            <v>1</v>
          </cell>
          <cell r="N1027">
            <v>0</v>
          </cell>
        </row>
        <row r="1028">
          <cell r="A1028">
            <v>2003</v>
          </cell>
          <cell r="B1028">
            <v>6</v>
          </cell>
          <cell r="C1028">
            <v>2</v>
          </cell>
          <cell r="D1028">
            <v>90</v>
          </cell>
          <cell r="E1028">
            <v>1</v>
          </cell>
          <cell r="F1028" t="str">
            <v>TJS</v>
          </cell>
          <cell r="G1028">
            <v>6</v>
          </cell>
          <cell r="H1028">
            <v>177</v>
          </cell>
          <cell r="I1028">
            <v>1</v>
          </cell>
          <cell r="J1028" t="str">
            <v>СТК "Центрально-Азиатский банк"</v>
          </cell>
          <cell r="K1028">
            <v>1062</v>
          </cell>
          <cell r="L1028">
            <v>177</v>
          </cell>
          <cell r="M1028">
            <v>1</v>
          </cell>
          <cell r="N1028">
            <v>1062</v>
          </cell>
        </row>
        <row r="1029">
          <cell r="A1029">
            <v>2003</v>
          </cell>
          <cell r="B1029">
            <v>6</v>
          </cell>
          <cell r="C1029">
            <v>1</v>
          </cell>
          <cell r="D1029">
            <v>0</v>
          </cell>
          <cell r="E1029">
            <v>1</v>
          </cell>
          <cell r="F1029" t="str">
            <v>USD</v>
          </cell>
          <cell r="G1029">
            <v>0</v>
          </cell>
          <cell r="H1029">
            <v>232972</v>
          </cell>
          <cell r="I1029">
            <v>3</v>
          </cell>
          <cell r="J1029" t="str">
            <v>СТК "Центрально-Азиатский банк"</v>
          </cell>
          <cell r="K1029">
            <v>0</v>
          </cell>
          <cell r="L1029">
            <v>232972</v>
          </cell>
          <cell r="M1029">
            <v>1</v>
          </cell>
          <cell r="N1029">
            <v>0</v>
          </cell>
        </row>
        <row r="1030">
          <cell r="A1030">
            <v>2003</v>
          </cell>
          <cell r="B1030">
            <v>6</v>
          </cell>
          <cell r="C1030">
            <v>3</v>
          </cell>
          <cell r="D1030">
            <v>0</v>
          </cell>
          <cell r="E1030">
            <v>2</v>
          </cell>
          <cell r="F1030" t="str">
            <v>USD</v>
          </cell>
          <cell r="G1030">
            <v>0</v>
          </cell>
          <cell r="H1030">
            <v>309</v>
          </cell>
          <cell r="I1030">
            <v>1</v>
          </cell>
          <cell r="J1030" t="str">
            <v>СТК "Центрально-Азиатский банк"</v>
          </cell>
          <cell r="K1030">
            <v>0</v>
          </cell>
          <cell r="L1030">
            <v>309</v>
          </cell>
          <cell r="M1030">
            <v>1</v>
          </cell>
          <cell r="N1030">
            <v>0</v>
          </cell>
        </row>
        <row r="1031">
          <cell r="A1031">
            <v>2003</v>
          </cell>
          <cell r="B1031">
            <v>6</v>
          </cell>
          <cell r="C1031">
            <v>2</v>
          </cell>
          <cell r="D1031">
            <v>360</v>
          </cell>
          <cell r="E1031">
            <v>2</v>
          </cell>
          <cell r="F1031" t="str">
            <v>USD</v>
          </cell>
          <cell r="G1031">
            <v>20</v>
          </cell>
          <cell r="H1031">
            <v>466</v>
          </cell>
          <cell r="I1031">
            <v>1</v>
          </cell>
          <cell r="J1031" t="str">
            <v>СТК "Центрально-Азиатский банк"</v>
          </cell>
          <cell r="K1031">
            <v>9320</v>
          </cell>
          <cell r="L1031">
            <v>466</v>
          </cell>
          <cell r="M1031">
            <v>1</v>
          </cell>
          <cell r="N1031">
            <v>9320</v>
          </cell>
        </row>
        <row r="1032">
          <cell r="A1032">
            <v>2003</v>
          </cell>
          <cell r="B1032">
            <v>6</v>
          </cell>
          <cell r="C1032">
            <v>2</v>
          </cell>
          <cell r="D1032">
            <v>360</v>
          </cell>
          <cell r="E1032">
            <v>2</v>
          </cell>
          <cell r="F1032" t="str">
            <v>USD</v>
          </cell>
          <cell r="G1032">
            <v>18</v>
          </cell>
          <cell r="H1032">
            <v>5122</v>
          </cell>
          <cell r="I1032">
            <v>1</v>
          </cell>
          <cell r="J1032" t="str">
            <v>СТК "Центрально-Азиатский банк"</v>
          </cell>
          <cell r="K1032">
            <v>92196</v>
          </cell>
          <cell r="L1032">
            <v>5122</v>
          </cell>
          <cell r="M1032">
            <v>1</v>
          </cell>
          <cell r="N1032">
            <v>92196</v>
          </cell>
        </row>
        <row r="1033">
          <cell r="A1033">
            <v>2003</v>
          </cell>
          <cell r="B1033">
            <v>6</v>
          </cell>
          <cell r="C1033">
            <v>2</v>
          </cell>
          <cell r="D1033">
            <v>360</v>
          </cell>
          <cell r="E1033">
            <v>2</v>
          </cell>
          <cell r="F1033" t="str">
            <v>USD</v>
          </cell>
          <cell r="G1033">
            <v>15</v>
          </cell>
          <cell r="H1033">
            <v>43561</v>
          </cell>
          <cell r="I1033">
            <v>1</v>
          </cell>
          <cell r="J1033" t="str">
            <v>СТК "Центрально-Азиатский банк"</v>
          </cell>
          <cell r="K1033">
            <v>653415</v>
          </cell>
          <cell r="L1033">
            <v>43561</v>
          </cell>
          <cell r="M1033">
            <v>1</v>
          </cell>
          <cell r="N1033">
            <v>653415</v>
          </cell>
        </row>
        <row r="1034">
          <cell r="A1034">
            <v>2003</v>
          </cell>
          <cell r="B1034">
            <v>6</v>
          </cell>
          <cell r="C1034">
            <v>2</v>
          </cell>
          <cell r="D1034">
            <v>360</v>
          </cell>
          <cell r="E1034">
            <v>2</v>
          </cell>
          <cell r="F1034" t="str">
            <v>USD</v>
          </cell>
          <cell r="G1034">
            <v>17</v>
          </cell>
          <cell r="H1034">
            <v>511</v>
          </cell>
          <cell r="I1034">
            <v>1</v>
          </cell>
          <cell r="J1034" t="str">
            <v>СТК "Центрально-Азиатский банк"</v>
          </cell>
          <cell r="K1034">
            <v>8687</v>
          </cell>
          <cell r="L1034">
            <v>511</v>
          </cell>
          <cell r="M1034">
            <v>1</v>
          </cell>
          <cell r="N1034">
            <v>8687</v>
          </cell>
        </row>
        <row r="1035">
          <cell r="A1035">
            <v>2003</v>
          </cell>
          <cell r="B1035">
            <v>6</v>
          </cell>
          <cell r="C1035">
            <v>1</v>
          </cell>
          <cell r="D1035">
            <v>0</v>
          </cell>
          <cell r="E1035">
            <v>1</v>
          </cell>
          <cell r="F1035" t="str">
            <v>TJS</v>
          </cell>
          <cell r="G1035">
            <v>0</v>
          </cell>
          <cell r="H1035">
            <v>30097572</v>
          </cell>
          <cell r="I1035">
            <v>56</v>
          </cell>
          <cell r="J1035" t="str">
            <v>ТАК ПБРР "Таджпромбанк"</v>
          </cell>
          <cell r="K1035">
            <v>0</v>
          </cell>
          <cell r="L1035">
            <v>30097572</v>
          </cell>
          <cell r="M1035">
            <v>1</v>
          </cell>
          <cell r="N1035">
            <v>0</v>
          </cell>
        </row>
        <row r="1036">
          <cell r="A1036">
            <v>2003</v>
          </cell>
          <cell r="B1036">
            <v>6</v>
          </cell>
          <cell r="C1036">
            <v>1</v>
          </cell>
          <cell r="D1036">
            <v>0</v>
          </cell>
          <cell r="E1036">
            <v>2</v>
          </cell>
          <cell r="F1036" t="str">
            <v>TJS</v>
          </cell>
          <cell r="G1036">
            <v>0</v>
          </cell>
          <cell r="H1036">
            <v>555257</v>
          </cell>
          <cell r="I1036">
            <v>8</v>
          </cell>
          <cell r="J1036" t="str">
            <v>ТАК ПБРР "Таджпромбанк"</v>
          </cell>
          <cell r="K1036">
            <v>0</v>
          </cell>
          <cell r="L1036">
            <v>555257</v>
          </cell>
          <cell r="M1036">
            <v>1</v>
          </cell>
          <cell r="N1036">
            <v>0</v>
          </cell>
        </row>
        <row r="1037">
          <cell r="A1037">
            <v>2003</v>
          </cell>
          <cell r="B1037">
            <v>6</v>
          </cell>
          <cell r="C1037">
            <v>3</v>
          </cell>
          <cell r="D1037">
            <v>0</v>
          </cell>
          <cell r="E1037">
            <v>1</v>
          </cell>
          <cell r="F1037" t="str">
            <v>TJS</v>
          </cell>
          <cell r="G1037">
            <v>21</v>
          </cell>
          <cell r="H1037">
            <v>1535878</v>
          </cell>
          <cell r="I1037">
            <v>7</v>
          </cell>
          <cell r="J1037" t="str">
            <v>ТАК ПБРР "Таджпромбанк"</v>
          </cell>
          <cell r="K1037">
            <v>32253438</v>
          </cell>
          <cell r="L1037">
            <v>1535878</v>
          </cell>
          <cell r="M1037">
            <v>1</v>
          </cell>
          <cell r="N1037">
            <v>32253438</v>
          </cell>
        </row>
        <row r="1038">
          <cell r="A1038">
            <v>2003</v>
          </cell>
          <cell r="B1038">
            <v>6</v>
          </cell>
          <cell r="C1038">
            <v>2</v>
          </cell>
          <cell r="D1038">
            <v>180</v>
          </cell>
          <cell r="E1038">
            <v>1</v>
          </cell>
          <cell r="F1038" t="str">
            <v>TJS</v>
          </cell>
          <cell r="G1038">
            <v>12</v>
          </cell>
          <cell r="H1038">
            <v>6790</v>
          </cell>
          <cell r="I1038">
            <v>1</v>
          </cell>
          <cell r="J1038" t="str">
            <v>ТАК ПБРР "Таджпромбанк"</v>
          </cell>
          <cell r="K1038">
            <v>81480</v>
          </cell>
          <cell r="L1038">
            <v>6790</v>
          </cell>
          <cell r="M1038">
            <v>1</v>
          </cell>
          <cell r="N1038">
            <v>81480</v>
          </cell>
        </row>
        <row r="1039">
          <cell r="A1039">
            <v>2003</v>
          </cell>
          <cell r="B1039">
            <v>6</v>
          </cell>
          <cell r="C1039">
            <v>2</v>
          </cell>
          <cell r="D1039">
            <v>180</v>
          </cell>
          <cell r="E1039">
            <v>1</v>
          </cell>
          <cell r="F1039" t="str">
            <v>TJS</v>
          </cell>
          <cell r="G1039">
            <v>13</v>
          </cell>
          <cell r="H1039">
            <v>12000</v>
          </cell>
          <cell r="I1039">
            <v>1</v>
          </cell>
          <cell r="J1039" t="str">
            <v>ТАК ПБРР "Таджпромбанк"</v>
          </cell>
          <cell r="K1039">
            <v>156000</v>
          </cell>
          <cell r="L1039">
            <v>12000</v>
          </cell>
          <cell r="M1039">
            <v>1</v>
          </cell>
          <cell r="N1039">
            <v>156000</v>
          </cell>
        </row>
        <row r="1040">
          <cell r="A1040">
            <v>2003</v>
          </cell>
          <cell r="B1040">
            <v>6</v>
          </cell>
          <cell r="C1040">
            <v>2</v>
          </cell>
          <cell r="D1040">
            <v>360</v>
          </cell>
          <cell r="E1040">
            <v>1</v>
          </cell>
          <cell r="F1040" t="str">
            <v>TJS</v>
          </cell>
          <cell r="G1040">
            <v>17</v>
          </cell>
          <cell r="H1040">
            <v>40000</v>
          </cell>
          <cell r="I1040">
            <v>1</v>
          </cell>
          <cell r="J1040" t="str">
            <v>ТАК ПБРР "Таджпромбанк"</v>
          </cell>
          <cell r="K1040">
            <v>680000</v>
          </cell>
          <cell r="L1040">
            <v>40000</v>
          </cell>
          <cell r="M1040">
            <v>1</v>
          </cell>
          <cell r="N1040">
            <v>680000</v>
          </cell>
        </row>
        <row r="1041">
          <cell r="A1041">
            <v>2003</v>
          </cell>
          <cell r="B1041">
            <v>6</v>
          </cell>
          <cell r="C1041">
            <v>3</v>
          </cell>
          <cell r="D1041">
            <v>0</v>
          </cell>
          <cell r="E1041">
            <v>2</v>
          </cell>
          <cell r="F1041" t="str">
            <v>TJS</v>
          </cell>
          <cell r="G1041">
            <v>8</v>
          </cell>
          <cell r="H1041">
            <v>530400</v>
          </cell>
          <cell r="I1041">
            <v>1</v>
          </cell>
          <cell r="J1041" t="str">
            <v>ТАК ПБРР "Таджпромбанк"</v>
          </cell>
          <cell r="K1041">
            <v>4243200</v>
          </cell>
          <cell r="L1041">
            <v>530400</v>
          </cell>
          <cell r="M1041">
            <v>1</v>
          </cell>
          <cell r="N1041">
            <v>4243200</v>
          </cell>
        </row>
        <row r="1042">
          <cell r="A1042">
            <v>2003</v>
          </cell>
          <cell r="B1042">
            <v>6</v>
          </cell>
          <cell r="C1042">
            <v>3</v>
          </cell>
          <cell r="D1042">
            <v>0</v>
          </cell>
          <cell r="E1042">
            <v>2</v>
          </cell>
          <cell r="F1042" t="str">
            <v>TJS</v>
          </cell>
          <cell r="G1042">
            <v>0</v>
          </cell>
          <cell r="H1042">
            <v>100</v>
          </cell>
          <cell r="I1042">
            <v>1</v>
          </cell>
          <cell r="J1042" t="str">
            <v>ТАК ПБРР "Таджпромбанк"</v>
          </cell>
          <cell r="K1042">
            <v>0</v>
          </cell>
          <cell r="L1042">
            <v>100</v>
          </cell>
          <cell r="M1042">
            <v>1</v>
          </cell>
          <cell r="N1042">
            <v>0</v>
          </cell>
        </row>
        <row r="1043">
          <cell r="A1043">
            <v>2003</v>
          </cell>
          <cell r="B1043">
            <v>6</v>
          </cell>
          <cell r="C1043">
            <v>3</v>
          </cell>
          <cell r="D1043">
            <v>0</v>
          </cell>
          <cell r="E1043">
            <v>2</v>
          </cell>
          <cell r="F1043" t="str">
            <v>TJS</v>
          </cell>
          <cell r="G1043">
            <v>2</v>
          </cell>
          <cell r="H1043">
            <v>18165</v>
          </cell>
          <cell r="I1043">
            <v>1</v>
          </cell>
          <cell r="J1043" t="str">
            <v>ТАК ПБРР "Таджпромбанк"</v>
          </cell>
          <cell r="K1043">
            <v>36330</v>
          </cell>
          <cell r="L1043">
            <v>18165</v>
          </cell>
          <cell r="M1043">
            <v>1</v>
          </cell>
          <cell r="N1043">
            <v>36330</v>
          </cell>
        </row>
        <row r="1044">
          <cell r="A1044">
            <v>2003</v>
          </cell>
          <cell r="B1044">
            <v>6</v>
          </cell>
          <cell r="C1044">
            <v>3</v>
          </cell>
          <cell r="D1044">
            <v>720</v>
          </cell>
          <cell r="E1044">
            <v>2</v>
          </cell>
          <cell r="F1044" t="str">
            <v>TJS</v>
          </cell>
          <cell r="G1044">
            <v>20</v>
          </cell>
          <cell r="H1044">
            <v>49</v>
          </cell>
          <cell r="I1044">
            <v>1</v>
          </cell>
          <cell r="J1044" t="str">
            <v>ТАК ПБРР "Таджпромбанк"</v>
          </cell>
          <cell r="K1044">
            <v>980</v>
          </cell>
          <cell r="L1044">
            <v>49</v>
          </cell>
          <cell r="M1044">
            <v>1</v>
          </cell>
          <cell r="N1044">
            <v>980</v>
          </cell>
        </row>
        <row r="1045">
          <cell r="A1045">
            <v>2003</v>
          </cell>
          <cell r="B1045">
            <v>6</v>
          </cell>
          <cell r="C1045">
            <v>2</v>
          </cell>
          <cell r="D1045">
            <v>720</v>
          </cell>
          <cell r="E1045">
            <v>2</v>
          </cell>
          <cell r="F1045" t="str">
            <v>TJS</v>
          </cell>
          <cell r="G1045">
            <v>18</v>
          </cell>
          <cell r="H1045">
            <v>270000</v>
          </cell>
          <cell r="I1045">
            <v>1</v>
          </cell>
          <cell r="J1045" t="str">
            <v>ТАК ПБРР "Таджпромбанк"</v>
          </cell>
          <cell r="K1045">
            <v>4860000</v>
          </cell>
          <cell r="L1045">
            <v>270000</v>
          </cell>
          <cell r="M1045">
            <v>1</v>
          </cell>
          <cell r="N1045">
            <v>4860000</v>
          </cell>
        </row>
        <row r="1046">
          <cell r="A1046">
            <v>2003</v>
          </cell>
          <cell r="B1046">
            <v>6</v>
          </cell>
          <cell r="C1046">
            <v>3</v>
          </cell>
          <cell r="D1046">
            <v>0</v>
          </cell>
          <cell r="E1046">
            <v>2</v>
          </cell>
          <cell r="F1046" t="str">
            <v>TJS</v>
          </cell>
          <cell r="G1046">
            <v>21</v>
          </cell>
          <cell r="H1046">
            <v>669306</v>
          </cell>
          <cell r="I1046">
            <v>26</v>
          </cell>
          <cell r="J1046" t="str">
            <v>ТАК ПБРР "Таджпромбанк"</v>
          </cell>
          <cell r="K1046">
            <v>14055426</v>
          </cell>
          <cell r="L1046">
            <v>669306</v>
          </cell>
          <cell r="M1046">
            <v>1</v>
          </cell>
          <cell r="N1046">
            <v>14055426</v>
          </cell>
        </row>
        <row r="1047">
          <cell r="A1047">
            <v>2003</v>
          </cell>
          <cell r="B1047">
            <v>6</v>
          </cell>
          <cell r="C1047">
            <v>2</v>
          </cell>
          <cell r="D1047">
            <v>720</v>
          </cell>
          <cell r="E1047">
            <v>2</v>
          </cell>
          <cell r="F1047" t="str">
            <v>TJS</v>
          </cell>
          <cell r="G1047">
            <v>20</v>
          </cell>
          <cell r="H1047">
            <v>3346</v>
          </cell>
          <cell r="I1047">
            <v>1</v>
          </cell>
          <cell r="J1047" t="str">
            <v>ТАК ПБРР "Таджпромбанк"</v>
          </cell>
          <cell r="K1047">
            <v>66920</v>
          </cell>
          <cell r="L1047">
            <v>3346</v>
          </cell>
          <cell r="M1047">
            <v>1</v>
          </cell>
          <cell r="N1047">
            <v>66920</v>
          </cell>
        </row>
        <row r="1048">
          <cell r="A1048">
            <v>2003</v>
          </cell>
          <cell r="B1048">
            <v>6</v>
          </cell>
          <cell r="C1048">
            <v>1</v>
          </cell>
          <cell r="D1048">
            <v>0</v>
          </cell>
          <cell r="E1048">
            <v>1</v>
          </cell>
          <cell r="F1048" t="str">
            <v>USD</v>
          </cell>
          <cell r="G1048">
            <v>0</v>
          </cell>
          <cell r="H1048">
            <v>20785814</v>
          </cell>
          <cell r="I1048">
            <v>11</v>
          </cell>
          <cell r="J1048" t="str">
            <v>ТАК ПБРР "Таджпромбанк"</v>
          </cell>
          <cell r="K1048">
            <v>0</v>
          </cell>
          <cell r="L1048">
            <v>20785814</v>
          </cell>
          <cell r="M1048">
            <v>1</v>
          </cell>
          <cell r="N1048">
            <v>0</v>
          </cell>
        </row>
        <row r="1049">
          <cell r="A1049">
            <v>2003</v>
          </cell>
          <cell r="B1049">
            <v>6</v>
          </cell>
          <cell r="C1049">
            <v>2</v>
          </cell>
          <cell r="D1049">
            <v>90</v>
          </cell>
          <cell r="E1049">
            <v>1</v>
          </cell>
          <cell r="F1049" t="str">
            <v>USD</v>
          </cell>
          <cell r="G1049">
            <v>4</v>
          </cell>
          <cell r="H1049">
            <v>1250</v>
          </cell>
          <cell r="I1049">
            <v>1</v>
          </cell>
          <cell r="J1049" t="str">
            <v>ТАК ПБРР "Таджпромбанк"</v>
          </cell>
          <cell r="K1049">
            <v>5000</v>
          </cell>
          <cell r="L1049">
            <v>1250</v>
          </cell>
          <cell r="M1049">
            <v>1</v>
          </cell>
          <cell r="N1049">
            <v>5000</v>
          </cell>
        </row>
        <row r="1050">
          <cell r="A1050">
            <v>2003</v>
          </cell>
          <cell r="B1050">
            <v>6</v>
          </cell>
          <cell r="C1050">
            <v>1</v>
          </cell>
          <cell r="D1050">
            <v>0</v>
          </cell>
          <cell r="E1050">
            <v>2</v>
          </cell>
          <cell r="F1050" t="str">
            <v>USD</v>
          </cell>
          <cell r="G1050">
            <v>0</v>
          </cell>
          <cell r="H1050">
            <v>189612</v>
          </cell>
          <cell r="I1050">
            <v>6</v>
          </cell>
          <cell r="J1050" t="str">
            <v>ТАК ПБРР "Таджпромбанк"</v>
          </cell>
          <cell r="K1050">
            <v>0</v>
          </cell>
          <cell r="L1050">
            <v>189612</v>
          </cell>
          <cell r="M1050">
            <v>1</v>
          </cell>
          <cell r="N1050">
            <v>0</v>
          </cell>
        </row>
        <row r="1051">
          <cell r="A1051">
            <v>2003</v>
          </cell>
          <cell r="B1051">
            <v>6</v>
          </cell>
          <cell r="C1051">
            <v>1</v>
          </cell>
          <cell r="D1051">
            <v>0</v>
          </cell>
          <cell r="E1051">
            <v>2</v>
          </cell>
          <cell r="F1051" t="str">
            <v>USD</v>
          </cell>
          <cell r="G1051">
            <v>4</v>
          </cell>
          <cell r="H1051">
            <v>46350</v>
          </cell>
          <cell r="I1051">
            <v>1</v>
          </cell>
          <cell r="J1051" t="str">
            <v>ТАК ПБРР "Таджпромбанк"</v>
          </cell>
          <cell r="K1051">
            <v>185400</v>
          </cell>
          <cell r="L1051">
            <v>46350</v>
          </cell>
          <cell r="M1051">
            <v>1</v>
          </cell>
          <cell r="N1051">
            <v>185400</v>
          </cell>
        </row>
        <row r="1052">
          <cell r="A1052">
            <v>2003</v>
          </cell>
          <cell r="B1052">
            <v>6</v>
          </cell>
          <cell r="C1052">
            <v>2</v>
          </cell>
          <cell r="D1052">
            <v>390</v>
          </cell>
          <cell r="E1052">
            <v>2</v>
          </cell>
          <cell r="F1052" t="str">
            <v>USD</v>
          </cell>
          <cell r="G1052">
            <v>18</v>
          </cell>
          <cell r="H1052">
            <v>6180000</v>
          </cell>
          <cell r="I1052">
            <v>11</v>
          </cell>
          <cell r="J1052" t="str">
            <v>ТАК ПБРР "Таджпромбанк"</v>
          </cell>
          <cell r="K1052">
            <v>111240000</v>
          </cell>
          <cell r="L1052">
            <v>6180000</v>
          </cell>
          <cell r="M1052">
            <v>1</v>
          </cell>
          <cell r="N1052">
            <v>111240000</v>
          </cell>
        </row>
        <row r="1053">
          <cell r="A1053">
            <v>2003</v>
          </cell>
          <cell r="B1053">
            <v>6</v>
          </cell>
          <cell r="C1053">
            <v>2</v>
          </cell>
          <cell r="D1053">
            <v>750</v>
          </cell>
          <cell r="E1053">
            <v>2</v>
          </cell>
          <cell r="F1053" t="str">
            <v>USD</v>
          </cell>
          <cell r="G1053">
            <v>16</v>
          </cell>
          <cell r="H1053">
            <v>590434</v>
          </cell>
          <cell r="I1053">
            <v>8</v>
          </cell>
          <cell r="J1053" t="str">
            <v>ТАК ПБРР "Таджпромбанк"</v>
          </cell>
          <cell r="K1053">
            <v>9446944</v>
          </cell>
          <cell r="L1053">
            <v>590434</v>
          </cell>
          <cell r="M1053">
            <v>1</v>
          </cell>
          <cell r="N1053">
            <v>9446944</v>
          </cell>
        </row>
        <row r="1054">
          <cell r="A1054">
            <v>2003</v>
          </cell>
          <cell r="B1054">
            <v>6</v>
          </cell>
          <cell r="C1054">
            <v>2</v>
          </cell>
          <cell r="D1054">
            <v>360</v>
          </cell>
          <cell r="E1054">
            <v>2</v>
          </cell>
          <cell r="F1054" t="str">
            <v>USD</v>
          </cell>
          <cell r="G1054">
            <v>10</v>
          </cell>
          <cell r="H1054">
            <v>139050</v>
          </cell>
          <cell r="I1054">
            <v>2</v>
          </cell>
          <cell r="J1054" t="str">
            <v>ТАК ПБРР "Таджпромбанк"</v>
          </cell>
          <cell r="K1054">
            <v>1390500</v>
          </cell>
          <cell r="L1054">
            <v>139050</v>
          </cell>
          <cell r="M1054">
            <v>1</v>
          </cell>
          <cell r="N1054">
            <v>1390500</v>
          </cell>
        </row>
        <row r="1055">
          <cell r="A1055">
            <v>2003</v>
          </cell>
          <cell r="B1055">
            <v>6</v>
          </cell>
          <cell r="C1055">
            <v>2</v>
          </cell>
          <cell r="D1055">
            <v>390</v>
          </cell>
          <cell r="E1055">
            <v>2</v>
          </cell>
          <cell r="F1055" t="str">
            <v>USD</v>
          </cell>
          <cell r="G1055">
            <v>16</v>
          </cell>
          <cell r="H1055">
            <v>2781</v>
          </cell>
          <cell r="I1055">
            <v>1</v>
          </cell>
          <cell r="J1055" t="str">
            <v>ТАК ПБРР "Таджпромбанк"</v>
          </cell>
          <cell r="K1055">
            <v>44496</v>
          </cell>
          <cell r="L1055">
            <v>2781</v>
          </cell>
          <cell r="M1055">
            <v>1</v>
          </cell>
          <cell r="N1055">
            <v>44496</v>
          </cell>
        </row>
        <row r="1056">
          <cell r="A1056">
            <v>2003</v>
          </cell>
          <cell r="B1056">
            <v>6</v>
          </cell>
          <cell r="C1056">
            <v>2</v>
          </cell>
          <cell r="D1056">
            <v>720</v>
          </cell>
          <cell r="E1056">
            <v>2</v>
          </cell>
          <cell r="F1056" t="str">
            <v>USD</v>
          </cell>
          <cell r="G1056">
            <v>14</v>
          </cell>
          <cell r="H1056">
            <v>61800</v>
          </cell>
          <cell r="I1056">
            <v>1</v>
          </cell>
          <cell r="J1056" t="str">
            <v>ТАК ПБРР "Таджпромбанк"</v>
          </cell>
          <cell r="K1056">
            <v>865200</v>
          </cell>
          <cell r="L1056">
            <v>61800</v>
          </cell>
          <cell r="M1056">
            <v>1</v>
          </cell>
          <cell r="N1056">
            <v>865200</v>
          </cell>
        </row>
        <row r="1057">
          <cell r="A1057">
            <v>2003</v>
          </cell>
          <cell r="B1057">
            <v>6</v>
          </cell>
          <cell r="C1057">
            <v>2</v>
          </cell>
          <cell r="D1057">
            <v>90</v>
          </cell>
          <cell r="E1057">
            <v>2</v>
          </cell>
          <cell r="F1057" t="str">
            <v>USD</v>
          </cell>
          <cell r="G1057">
            <v>6</v>
          </cell>
          <cell r="H1057">
            <v>6180</v>
          </cell>
          <cell r="I1057">
            <v>1</v>
          </cell>
          <cell r="J1057" t="str">
            <v>ТАК ПБРР "Таджпромбанк"</v>
          </cell>
          <cell r="K1057">
            <v>37080</v>
          </cell>
          <cell r="L1057">
            <v>6180</v>
          </cell>
          <cell r="M1057">
            <v>1</v>
          </cell>
          <cell r="N1057">
            <v>37080</v>
          </cell>
        </row>
        <row r="1058">
          <cell r="A1058">
            <v>2003</v>
          </cell>
          <cell r="B1058">
            <v>6</v>
          </cell>
          <cell r="C1058">
            <v>2</v>
          </cell>
          <cell r="D1058">
            <v>180</v>
          </cell>
          <cell r="E1058">
            <v>2</v>
          </cell>
          <cell r="F1058" t="str">
            <v>USD</v>
          </cell>
          <cell r="G1058">
            <v>12</v>
          </cell>
          <cell r="H1058">
            <v>39243</v>
          </cell>
          <cell r="I1058">
            <v>1</v>
          </cell>
          <cell r="J1058" t="str">
            <v>ТАК ПБРР "Таджпромбанк"</v>
          </cell>
          <cell r="K1058">
            <v>470916</v>
          </cell>
          <cell r="L1058">
            <v>39243</v>
          </cell>
          <cell r="M1058">
            <v>1</v>
          </cell>
          <cell r="N1058">
            <v>470916</v>
          </cell>
        </row>
        <row r="1059">
          <cell r="A1059">
            <v>2003</v>
          </cell>
          <cell r="B1059">
            <v>6</v>
          </cell>
          <cell r="C1059">
            <v>2</v>
          </cell>
          <cell r="D1059">
            <v>540</v>
          </cell>
          <cell r="E1059">
            <v>2</v>
          </cell>
          <cell r="F1059" t="str">
            <v>USD</v>
          </cell>
          <cell r="G1059">
            <v>14</v>
          </cell>
          <cell r="H1059">
            <v>49440</v>
          </cell>
          <cell r="I1059">
            <v>1</v>
          </cell>
          <cell r="J1059" t="str">
            <v>ТАК ПБРР "Таджпромбанк"</v>
          </cell>
          <cell r="K1059">
            <v>692160</v>
          </cell>
          <cell r="L1059">
            <v>49440</v>
          </cell>
          <cell r="M1059">
            <v>1</v>
          </cell>
          <cell r="N1059">
            <v>692160</v>
          </cell>
        </row>
        <row r="1060">
          <cell r="A1060">
            <v>2003</v>
          </cell>
          <cell r="B1060">
            <v>6</v>
          </cell>
          <cell r="C1060">
            <v>1</v>
          </cell>
          <cell r="D1060">
            <v>0</v>
          </cell>
          <cell r="E1060">
            <v>1</v>
          </cell>
          <cell r="F1060" t="str">
            <v>TJS</v>
          </cell>
          <cell r="G1060">
            <v>0</v>
          </cell>
          <cell r="H1060">
            <v>53183179</v>
          </cell>
          <cell r="I1060">
            <v>7285</v>
          </cell>
          <cell r="J1060" t="str">
            <v>ТАК ПСБ "Ориёнбанк"</v>
          </cell>
          <cell r="K1060">
            <v>0</v>
          </cell>
          <cell r="L1060">
            <v>53183179</v>
          </cell>
          <cell r="M1060">
            <v>1</v>
          </cell>
          <cell r="N1060">
            <v>0</v>
          </cell>
        </row>
        <row r="1061">
          <cell r="A1061">
            <v>2003</v>
          </cell>
          <cell r="B1061">
            <v>6</v>
          </cell>
          <cell r="C1061">
            <v>1</v>
          </cell>
          <cell r="D1061">
            <v>0</v>
          </cell>
          <cell r="E1061">
            <v>1</v>
          </cell>
          <cell r="F1061" t="str">
            <v>TJS</v>
          </cell>
          <cell r="G1061">
            <v>0.5</v>
          </cell>
          <cell r="H1061">
            <v>33165702</v>
          </cell>
          <cell r="I1061">
            <v>1647</v>
          </cell>
          <cell r="J1061" t="str">
            <v>ТАК ПСБ "Ориёнбанк"</v>
          </cell>
          <cell r="K1061">
            <v>16582851</v>
          </cell>
          <cell r="L1061">
            <v>33165702</v>
          </cell>
          <cell r="M1061">
            <v>1</v>
          </cell>
          <cell r="N1061">
            <v>16582851</v>
          </cell>
        </row>
        <row r="1062">
          <cell r="A1062">
            <v>2003</v>
          </cell>
          <cell r="B1062">
            <v>6</v>
          </cell>
          <cell r="C1062">
            <v>2</v>
          </cell>
          <cell r="D1062">
            <v>180</v>
          </cell>
          <cell r="E1062">
            <v>1</v>
          </cell>
          <cell r="F1062" t="str">
            <v>TJS</v>
          </cell>
          <cell r="G1062">
            <v>15</v>
          </cell>
          <cell r="H1062">
            <v>64620</v>
          </cell>
          <cell r="I1062">
            <v>3</v>
          </cell>
          <cell r="J1062" t="str">
            <v>ТАК ПСБ "Ориёнбанк"</v>
          </cell>
          <cell r="K1062">
            <v>969300</v>
          </cell>
          <cell r="L1062">
            <v>64620</v>
          </cell>
          <cell r="M1062">
            <v>1</v>
          </cell>
          <cell r="N1062">
            <v>969300</v>
          </cell>
        </row>
        <row r="1063">
          <cell r="A1063">
            <v>2003</v>
          </cell>
          <cell r="B1063">
            <v>6</v>
          </cell>
          <cell r="C1063">
            <v>2</v>
          </cell>
          <cell r="D1063">
            <v>90</v>
          </cell>
          <cell r="E1063">
            <v>2</v>
          </cell>
          <cell r="F1063" t="str">
            <v>TJS</v>
          </cell>
          <cell r="G1063">
            <v>12</v>
          </cell>
          <cell r="H1063">
            <v>3000</v>
          </cell>
          <cell r="I1063">
            <v>2</v>
          </cell>
          <cell r="J1063" t="str">
            <v>ТАК ПСБ "Ориёнбанк"</v>
          </cell>
          <cell r="K1063">
            <v>36000</v>
          </cell>
          <cell r="L1063">
            <v>3000</v>
          </cell>
          <cell r="M1063">
            <v>1</v>
          </cell>
          <cell r="N1063">
            <v>36000</v>
          </cell>
        </row>
        <row r="1064">
          <cell r="A1064">
            <v>2003</v>
          </cell>
          <cell r="B1064">
            <v>6</v>
          </cell>
          <cell r="C1064">
            <v>2</v>
          </cell>
          <cell r="D1064">
            <v>180</v>
          </cell>
          <cell r="E1064">
            <v>2</v>
          </cell>
          <cell r="F1064" t="str">
            <v>TJS</v>
          </cell>
          <cell r="G1064">
            <v>15</v>
          </cell>
          <cell r="H1064">
            <v>5400</v>
          </cell>
          <cell r="I1064">
            <v>5</v>
          </cell>
          <cell r="J1064" t="str">
            <v>ТАК ПСБ "Ориёнбанк"</v>
          </cell>
          <cell r="K1064">
            <v>81000</v>
          </cell>
          <cell r="L1064">
            <v>5400</v>
          </cell>
          <cell r="M1064">
            <v>1</v>
          </cell>
          <cell r="N1064">
            <v>81000</v>
          </cell>
        </row>
        <row r="1065">
          <cell r="A1065">
            <v>2003</v>
          </cell>
          <cell r="B1065">
            <v>6</v>
          </cell>
          <cell r="C1065">
            <v>2</v>
          </cell>
          <cell r="D1065">
            <v>210</v>
          </cell>
          <cell r="E1065">
            <v>2</v>
          </cell>
          <cell r="F1065" t="str">
            <v>TJS</v>
          </cell>
          <cell r="G1065">
            <v>15</v>
          </cell>
          <cell r="H1065">
            <v>630</v>
          </cell>
          <cell r="I1065">
            <v>1</v>
          </cell>
          <cell r="J1065" t="str">
            <v>ТАК ПСБ "Ориёнбанк"</v>
          </cell>
          <cell r="K1065">
            <v>9450</v>
          </cell>
          <cell r="L1065">
            <v>630</v>
          </cell>
          <cell r="M1065">
            <v>1</v>
          </cell>
          <cell r="N1065">
            <v>9450</v>
          </cell>
        </row>
        <row r="1066">
          <cell r="A1066">
            <v>2003</v>
          </cell>
          <cell r="B1066">
            <v>6</v>
          </cell>
          <cell r="C1066">
            <v>2</v>
          </cell>
          <cell r="D1066">
            <v>210</v>
          </cell>
          <cell r="E1066">
            <v>2</v>
          </cell>
          <cell r="F1066" t="str">
            <v>TJS</v>
          </cell>
          <cell r="G1066">
            <v>25</v>
          </cell>
          <cell r="H1066">
            <v>2000</v>
          </cell>
          <cell r="I1066">
            <v>1</v>
          </cell>
          <cell r="J1066" t="str">
            <v>ТАК ПСБ "Ориёнбанк"</v>
          </cell>
          <cell r="K1066">
            <v>50000</v>
          </cell>
          <cell r="L1066">
            <v>2000</v>
          </cell>
          <cell r="M1066">
            <v>1</v>
          </cell>
          <cell r="N1066">
            <v>50000</v>
          </cell>
        </row>
        <row r="1067">
          <cell r="A1067">
            <v>2003</v>
          </cell>
          <cell r="B1067">
            <v>6</v>
          </cell>
          <cell r="C1067">
            <v>2</v>
          </cell>
          <cell r="D1067">
            <v>240</v>
          </cell>
          <cell r="E1067">
            <v>2</v>
          </cell>
          <cell r="F1067" t="str">
            <v>TJS</v>
          </cell>
          <cell r="G1067">
            <v>20</v>
          </cell>
          <cell r="H1067">
            <v>1500</v>
          </cell>
          <cell r="I1067">
            <v>2</v>
          </cell>
          <cell r="J1067" t="str">
            <v>ТАК ПСБ "Ориёнбанк"</v>
          </cell>
          <cell r="K1067">
            <v>30000</v>
          </cell>
          <cell r="L1067">
            <v>1500</v>
          </cell>
          <cell r="M1067">
            <v>1</v>
          </cell>
          <cell r="N1067">
            <v>30000</v>
          </cell>
        </row>
        <row r="1068">
          <cell r="A1068">
            <v>2003</v>
          </cell>
          <cell r="B1068">
            <v>6</v>
          </cell>
          <cell r="C1068">
            <v>2</v>
          </cell>
          <cell r="D1068">
            <v>360</v>
          </cell>
          <cell r="E1068">
            <v>1</v>
          </cell>
          <cell r="F1068" t="str">
            <v>TJS</v>
          </cell>
          <cell r="G1068">
            <v>12</v>
          </cell>
          <cell r="H1068">
            <v>12198</v>
          </cell>
          <cell r="I1068">
            <v>1</v>
          </cell>
          <cell r="J1068" t="str">
            <v>ТАК ПСБ "Ориёнбанк"</v>
          </cell>
          <cell r="K1068">
            <v>146376</v>
          </cell>
          <cell r="L1068">
            <v>12198</v>
          </cell>
          <cell r="M1068">
            <v>1</v>
          </cell>
          <cell r="N1068">
            <v>146376</v>
          </cell>
        </row>
        <row r="1069">
          <cell r="A1069">
            <v>2003</v>
          </cell>
          <cell r="B1069">
            <v>6</v>
          </cell>
          <cell r="C1069">
            <v>2</v>
          </cell>
          <cell r="D1069">
            <v>360</v>
          </cell>
          <cell r="E1069">
            <v>2</v>
          </cell>
          <cell r="F1069" t="str">
            <v>TJS</v>
          </cell>
          <cell r="G1069">
            <v>20</v>
          </cell>
          <cell r="H1069">
            <v>10795</v>
          </cell>
          <cell r="I1069">
            <v>51</v>
          </cell>
          <cell r="J1069" t="str">
            <v>ТАК ПСБ "Ориёнбанк"</v>
          </cell>
          <cell r="K1069">
            <v>215900</v>
          </cell>
          <cell r="L1069">
            <v>10795</v>
          </cell>
          <cell r="M1069">
            <v>1</v>
          </cell>
          <cell r="N1069">
            <v>215900</v>
          </cell>
        </row>
        <row r="1070">
          <cell r="A1070">
            <v>2003</v>
          </cell>
          <cell r="B1070">
            <v>6</v>
          </cell>
          <cell r="C1070">
            <v>2</v>
          </cell>
          <cell r="D1070">
            <v>390</v>
          </cell>
          <cell r="E1070">
            <v>2</v>
          </cell>
          <cell r="F1070" t="str">
            <v>TJS</v>
          </cell>
          <cell r="G1070">
            <v>20</v>
          </cell>
          <cell r="H1070">
            <v>607</v>
          </cell>
          <cell r="I1070">
            <v>3</v>
          </cell>
          <cell r="J1070" t="str">
            <v>ТАК ПСБ "Ориёнбанк"</v>
          </cell>
          <cell r="K1070">
            <v>12140</v>
          </cell>
          <cell r="L1070">
            <v>607</v>
          </cell>
          <cell r="M1070">
            <v>1</v>
          </cell>
          <cell r="N1070">
            <v>12140</v>
          </cell>
        </row>
        <row r="1071">
          <cell r="A1071">
            <v>2003</v>
          </cell>
          <cell r="B1071">
            <v>6</v>
          </cell>
          <cell r="C1071">
            <v>2</v>
          </cell>
          <cell r="D1071">
            <v>420</v>
          </cell>
          <cell r="E1071">
            <v>2</v>
          </cell>
          <cell r="F1071" t="str">
            <v>TJS</v>
          </cell>
          <cell r="G1071">
            <v>25</v>
          </cell>
          <cell r="H1071">
            <v>15850</v>
          </cell>
          <cell r="I1071">
            <v>1</v>
          </cell>
          <cell r="J1071" t="str">
            <v>ТАК ПСБ "Ориёнбанк"</v>
          </cell>
          <cell r="K1071">
            <v>396250</v>
          </cell>
          <cell r="L1071">
            <v>15850</v>
          </cell>
          <cell r="M1071">
            <v>1</v>
          </cell>
          <cell r="N1071">
            <v>396250</v>
          </cell>
        </row>
        <row r="1072">
          <cell r="A1072">
            <v>2003</v>
          </cell>
          <cell r="B1072">
            <v>6</v>
          </cell>
          <cell r="C1072">
            <v>2</v>
          </cell>
          <cell r="D1072">
            <v>1080</v>
          </cell>
          <cell r="E1072">
            <v>2</v>
          </cell>
          <cell r="F1072" t="str">
            <v>TJS</v>
          </cell>
          <cell r="G1072">
            <v>5</v>
          </cell>
          <cell r="H1072">
            <v>2000</v>
          </cell>
          <cell r="I1072">
            <v>1</v>
          </cell>
          <cell r="J1072" t="str">
            <v>ТАК ПСБ "Ориёнбанк"</v>
          </cell>
          <cell r="K1072">
            <v>10000</v>
          </cell>
          <cell r="L1072">
            <v>2000</v>
          </cell>
          <cell r="M1072">
            <v>1</v>
          </cell>
          <cell r="N1072">
            <v>10000</v>
          </cell>
        </row>
        <row r="1073">
          <cell r="A1073">
            <v>2003</v>
          </cell>
          <cell r="B1073">
            <v>6</v>
          </cell>
          <cell r="C1073">
            <v>2</v>
          </cell>
          <cell r="D1073">
            <v>1080</v>
          </cell>
          <cell r="E1073">
            <v>2</v>
          </cell>
          <cell r="F1073" t="str">
            <v>TJS</v>
          </cell>
          <cell r="G1073">
            <v>25</v>
          </cell>
          <cell r="H1073">
            <v>15750</v>
          </cell>
          <cell r="I1073">
            <v>1</v>
          </cell>
          <cell r="J1073" t="str">
            <v>ТАК ПСБ "Ориёнбанк"</v>
          </cell>
          <cell r="K1073">
            <v>393750</v>
          </cell>
          <cell r="L1073">
            <v>15750</v>
          </cell>
          <cell r="M1073">
            <v>1</v>
          </cell>
          <cell r="N1073">
            <v>393750</v>
          </cell>
        </row>
        <row r="1074">
          <cell r="A1074">
            <v>2003</v>
          </cell>
          <cell r="B1074">
            <v>6</v>
          </cell>
          <cell r="C1074">
            <v>2</v>
          </cell>
          <cell r="D1074">
            <v>1080</v>
          </cell>
          <cell r="E1074">
            <v>2</v>
          </cell>
          <cell r="F1074" t="str">
            <v>TJS</v>
          </cell>
          <cell r="G1074">
            <v>30</v>
          </cell>
          <cell r="H1074">
            <v>5450</v>
          </cell>
          <cell r="I1074">
            <v>5</v>
          </cell>
          <cell r="J1074" t="str">
            <v>ТАК ПСБ "Ориёнбанк"</v>
          </cell>
          <cell r="K1074">
            <v>163500</v>
          </cell>
          <cell r="L1074">
            <v>5450</v>
          </cell>
          <cell r="M1074">
            <v>1</v>
          </cell>
          <cell r="N1074">
            <v>163500</v>
          </cell>
        </row>
        <row r="1075">
          <cell r="A1075">
            <v>2003</v>
          </cell>
          <cell r="B1075">
            <v>6</v>
          </cell>
          <cell r="C1075">
            <v>2</v>
          </cell>
          <cell r="D1075">
            <v>1090</v>
          </cell>
          <cell r="E1075">
            <v>2</v>
          </cell>
          <cell r="F1075" t="str">
            <v>TJS</v>
          </cell>
          <cell r="G1075">
            <v>30</v>
          </cell>
          <cell r="H1075">
            <v>5000</v>
          </cell>
          <cell r="I1075">
            <v>2</v>
          </cell>
          <cell r="J1075" t="str">
            <v>ТАК ПСБ "Ориёнбанк"</v>
          </cell>
          <cell r="K1075">
            <v>150000</v>
          </cell>
          <cell r="L1075">
            <v>5000</v>
          </cell>
          <cell r="M1075">
            <v>1</v>
          </cell>
          <cell r="N1075">
            <v>150000</v>
          </cell>
        </row>
        <row r="1076">
          <cell r="A1076">
            <v>2003</v>
          </cell>
          <cell r="B1076">
            <v>6</v>
          </cell>
          <cell r="C1076">
            <v>2</v>
          </cell>
          <cell r="D1076">
            <v>1140</v>
          </cell>
          <cell r="E1076">
            <v>2</v>
          </cell>
          <cell r="F1076" t="str">
            <v>TJS</v>
          </cell>
          <cell r="G1076">
            <v>30</v>
          </cell>
          <cell r="H1076">
            <v>30000</v>
          </cell>
          <cell r="I1076">
            <v>1</v>
          </cell>
          <cell r="J1076" t="str">
            <v>ТАК ПСБ "Ориёнбанк"</v>
          </cell>
          <cell r="K1076">
            <v>900000</v>
          </cell>
          <cell r="L1076">
            <v>30000</v>
          </cell>
          <cell r="M1076">
            <v>1</v>
          </cell>
          <cell r="N1076">
            <v>900000</v>
          </cell>
        </row>
        <row r="1077">
          <cell r="A1077">
            <v>2003</v>
          </cell>
          <cell r="B1077">
            <v>6</v>
          </cell>
          <cell r="C1077">
            <v>3</v>
          </cell>
          <cell r="D1077">
            <v>0</v>
          </cell>
          <cell r="E1077">
            <v>2</v>
          </cell>
          <cell r="F1077" t="str">
            <v>TJS</v>
          </cell>
          <cell r="G1077">
            <v>5</v>
          </cell>
          <cell r="H1077">
            <v>934608</v>
          </cell>
          <cell r="I1077">
            <v>527</v>
          </cell>
          <cell r="J1077" t="str">
            <v>ТАК ПСБ "Ориёнбанк"</v>
          </cell>
          <cell r="K1077">
            <v>4673040</v>
          </cell>
          <cell r="L1077">
            <v>934608</v>
          </cell>
          <cell r="M1077">
            <v>1</v>
          </cell>
          <cell r="N1077">
            <v>4673040</v>
          </cell>
        </row>
        <row r="1078">
          <cell r="A1078">
            <v>2003</v>
          </cell>
          <cell r="B1078">
            <v>6</v>
          </cell>
          <cell r="C1078">
            <v>1</v>
          </cell>
          <cell r="D1078">
            <v>0</v>
          </cell>
          <cell r="E1078">
            <v>0</v>
          </cell>
          <cell r="F1078" t="str">
            <v>USD</v>
          </cell>
          <cell r="G1078">
            <v>0</v>
          </cell>
          <cell r="H1078">
            <v>812616</v>
          </cell>
          <cell r="I1078">
            <v>5</v>
          </cell>
          <cell r="J1078" t="str">
            <v>ТАК ПСБ "Ориёнбанк"</v>
          </cell>
          <cell r="K1078">
            <v>0</v>
          </cell>
          <cell r="L1078">
            <v>812616</v>
          </cell>
          <cell r="M1078">
            <v>1</v>
          </cell>
          <cell r="N1078">
            <v>0</v>
          </cell>
        </row>
        <row r="1079">
          <cell r="A1079">
            <v>2003</v>
          </cell>
          <cell r="B1079">
            <v>6</v>
          </cell>
          <cell r="C1079">
            <v>1</v>
          </cell>
          <cell r="D1079">
            <v>0</v>
          </cell>
          <cell r="E1079">
            <v>1</v>
          </cell>
          <cell r="F1079" t="str">
            <v>USD</v>
          </cell>
          <cell r="G1079">
            <v>0</v>
          </cell>
          <cell r="H1079">
            <v>33469841</v>
          </cell>
          <cell r="I1079">
            <v>347</v>
          </cell>
          <cell r="J1079" t="str">
            <v>ТАК ПСБ "Ориёнбанк"</v>
          </cell>
          <cell r="K1079">
            <v>0</v>
          </cell>
          <cell r="L1079">
            <v>33469841</v>
          </cell>
          <cell r="M1079">
            <v>1</v>
          </cell>
          <cell r="N1079">
            <v>0</v>
          </cell>
        </row>
        <row r="1080">
          <cell r="A1080">
            <v>2003</v>
          </cell>
          <cell r="B1080">
            <v>6</v>
          </cell>
          <cell r="C1080">
            <v>1</v>
          </cell>
          <cell r="D1080">
            <v>0</v>
          </cell>
          <cell r="E1080">
            <v>2</v>
          </cell>
          <cell r="F1080" t="str">
            <v>USD</v>
          </cell>
          <cell r="G1080">
            <v>0</v>
          </cell>
          <cell r="H1080">
            <v>512385</v>
          </cell>
          <cell r="I1080">
            <v>53</v>
          </cell>
          <cell r="J1080" t="str">
            <v>ТАК ПСБ "Ориёнбанк"</v>
          </cell>
          <cell r="K1080">
            <v>0</v>
          </cell>
          <cell r="L1080">
            <v>512385</v>
          </cell>
          <cell r="M1080">
            <v>1</v>
          </cell>
          <cell r="N1080">
            <v>0</v>
          </cell>
        </row>
        <row r="1081">
          <cell r="A1081">
            <v>2003</v>
          </cell>
          <cell r="B1081">
            <v>6</v>
          </cell>
          <cell r="C1081">
            <v>2</v>
          </cell>
          <cell r="D1081">
            <v>60</v>
          </cell>
          <cell r="E1081">
            <v>2</v>
          </cell>
          <cell r="F1081" t="str">
            <v>USD</v>
          </cell>
          <cell r="G1081">
            <v>0</v>
          </cell>
          <cell r="H1081">
            <v>2472</v>
          </cell>
          <cell r="I1081">
            <v>1</v>
          </cell>
          <cell r="J1081" t="str">
            <v>ТАК ПСБ "Ориёнбанк"</v>
          </cell>
          <cell r="K1081">
            <v>0</v>
          </cell>
          <cell r="L1081">
            <v>2472</v>
          </cell>
          <cell r="M1081">
            <v>1</v>
          </cell>
          <cell r="N1081">
            <v>0</v>
          </cell>
        </row>
        <row r="1082">
          <cell r="A1082">
            <v>2003</v>
          </cell>
          <cell r="B1082">
            <v>6</v>
          </cell>
          <cell r="C1082">
            <v>2</v>
          </cell>
          <cell r="D1082">
            <v>60</v>
          </cell>
          <cell r="E1082">
            <v>2</v>
          </cell>
          <cell r="F1082" t="str">
            <v>USD</v>
          </cell>
          <cell r="G1082">
            <v>3</v>
          </cell>
          <cell r="H1082">
            <v>58710</v>
          </cell>
          <cell r="I1082">
            <v>1</v>
          </cell>
          <cell r="J1082" t="str">
            <v>ТАК ПСБ "Ориёнбанк"</v>
          </cell>
          <cell r="K1082">
            <v>176130</v>
          </cell>
          <cell r="L1082">
            <v>58710</v>
          </cell>
          <cell r="M1082">
            <v>1</v>
          </cell>
          <cell r="N1082">
            <v>176130</v>
          </cell>
        </row>
        <row r="1083">
          <cell r="A1083">
            <v>2003</v>
          </cell>
          <cell r="B1083">
            <v>6</v>
          </cell>
          <cell r="C1083">
            <v>2</v>
          </cell>
          <cell r="D1083">
            <v>90</v>
          </cell>
          <cell r="E1083">
            <v>2</v>
          </cell>
          <cell r="F1083" t="str">
            <v>USD</v>
          </cell>
          <cell r="G1083">
            <v>5</v>
          </cell>
          <cell r="H1083">
            <v>11124</v>
          </cell>
          <cell r="I1083">
            <v>2</v>
          </cell>
          <cell r="J1083" t="str">
            <v>ТАК ПСБ "Ориёнбанк"</v>
          </cell>
          <cell r="K1083">
            <v>55620</v>
          </cell>
          <cell r="L1083">
            <v>11124</v>
          </cell>
          <cell r="M1083">
            <v>1</v>
          </cell>
          <cell r="N1083">
            <v>55620</v>
          </cell>
        </row>
        <row r="1084">
          <cell r="A1084">
            <v>2003</v>
          </cell>
          <cell r="B1084">
            <v>6</v>
          </cell>
          <cell r="C1084">
            <v>2</v>
          </cell>
          <cell r="D1084">
            <v>90</v>
          </cell>
          <cell r="E1084">
            <v>2</v>
          </cell>
          <cell r="F1084" t="str">
            <v>USD</v>
          </cell>
          <cell r="G1084">
            <v>8</v>
          </cell>
          <cell r="H1084">
            <v>5871</v>
          </cell>
          <cell r="I1084">
            <v>1</v>
          </cell>
          <cell r="J1084" t="str">
            <v>ТАК ПСБ "Ориёнбанк"</v>
          </cell>
          <cell r="K1084">
            <v>46968</v>
          </cell>
          <cell r="L1084">
            <v>5871</v>
          </cell>
          <cell r="M1084">
            <v>1</v>
          </cell>
          <cell r="N1084">
            <v>46968</v>
          </cell>
        </row>
        <row r="1085">
          <cell r="A1085">
            <v>2003</v>
          </cell>
          <cell r="B1085">
            <v>6</v>
          </cell>
          <cell r="C1085">
            <v>2</v>
          </cell>
          <cell r="D1085">
            <v>180</v>
          </cell>
          <cell r="E1085">
            <v>2</v>
          </cell>
          <cell r="F1085" t="str">
            <v>USD</v>
          </cell>
          <cell r="G1085">
            <v>4</v>
          </cell>
          <cell r="H1085">
            <v>10784</v>
          </cell>
          <cell r="I1085">
            <v>2</v>
          </cell>
          <cell r="J1085" t="str">
            <v>ТАК ПСБ "Ориёнбанк"</v>
          </cell>
          <cell r="K1085">
            <v>43136</v>
          </cell>
          <cell r="L1085">
            <v>10784</v>
          </cell>
          <cell r="M1085">
            <v>1</v>
          </cell>
          <cell r="N1085">
            <v>43136</v>
          </cell>
        </row>
        <row r="1086">
          <cell r="A1086">
            <v>2003</v>
          </cell>
          <cell r="B1086">
            <v>6</v>
          </cell>
          <cell r="C1086">
            <v>2</v>
          </cell>
          <cell r="D1086">
            <v>180</v>
          </cell>
          <cell r="E1086">
            <v>2</v>
          </cell>
          <cell r="F1086" t="str">
            <v>USD</v>
          </cell>
          <cell r="G1086">
            <v>5</v>
          </cell>
          <cell r="H1086">
            <v>309000</v>
          </cell>
          <cell r="I1086">
            <v>1</v>
          </cell>
          <cell r="J1086" t="str">
            <v>ТАК ПСБ "Ориёнбанк"</v>
          </cell>
          <cell r="K1086">
            <v>1545000</v>
          </cell>
          <cell r="L1086">
            <v>309000</v>
          </cell>
          <cell r="M1086">
            <v>1</v>
          </cell>
          <cell r="N1086">
            <v>1545000</v>
          </cell>
        </row>
        <row r="1087">
          <cell r="A1087">
            <v>2003</v>
          </cell>
          <cell r="B1087">
            <v>6</v>
          </cell>
          <cell r="C1087">
            <v>2</v>
          </cell>
          <cell r="D1087">
            <v>180</v>
          </cell>
          <cell r="E1087">
            <v>2</v>
          </cell>
          <cell r="F1087" t="str">
            <v>USD</v>
          </cell>
          <cell r="G1087">
            <v>8</v>
          </cell>
          <cell r="H1087">
            <v>1854</v>
          </cell>
          <cell r="I1087">
            <v>1</v>
          </cell>
          <cell r="J1087" t="str">
            <v>ТАК ПСБ "Ориёнбанк"</v>
          </cell>
          <cell r="K1087">
            <v>14832</v>
          </cell>
          <cell r="L1087">
            <v>1854</v>
          </cell>
          <cell r="M1087">
            <v>1</v>
          </cell>
          <cell r="N1087">
            <v>14832</v>
          </cell>
        </row>
        <row r="1088">
          <cell r="A1088">
            <v>2003</v>
          </cell>
          <cell r="B1088">
            <v>6</v>
          </cell>
          <cell r="C1088">
            <v>2</v>
          </cell>
          <cell r="D1088">
            <v>210</v>
          </cell>
          <cell r="E1088">
            <v>2</v>
          </cell>
          <cell r="F1088" t="str">
            <v>USD</v>
          </cell>
          <cell r="G1088">
            <v>5</v>
          </cell>
          <cell r="H1088">
            <v>43260</v>
          </cell>
          <cell r="I1088">
            <v>1</v>
          </cell>
          <cell r="J1088" t="str">
            <v>ТАК ПСБ "Ориёнбанк"</v>
          </cell>
          <cell r="K1088">
            <v>216300</v>
          </cell>
          <cell r="L1088">
            <v>43260</v>
          </cell>
          <cell r="M1088">
            <v>1</v>
          </cell>
          <cell r="N1088">
            <v>216300</v>
          </cell>
        </row>
        <row r="1089">
          <cell r="A1089">
            <v>2003</v>
          </cell>
          <cell r="B1089">
            <v>6</v>
          </cell>
          <cell r="C1089">
            <v>2</v>
          </cell>
          <cell r="D1089">
            <v>360</v>
          </cell>
          <cell r="E1089">
            <v>2</v>
          </cell>
          <cell r="F1089" t="str">
            <v>USD</v>
          </cell>
          <cell r="G1089">
            <v>5</v>
          </cell>
          <cell r="H1089">
            <v>3090</v>
          </cell>
          <cell r="I1089">
            <v>3</v>
          </cell>
          <cell r="J1089" t="str">
            <v>ТАК ПСБ "Ориёнбанк"</v>
          </cell>
          <cell r="K1089">
            <v>15450</v>
          </cell>
          <cell r="L1089">
            <v>3090</v>
          </cell>
          <cell r="M1089">
            <v>1</v>
          </cell>
          <cell r="N1089">
            <v>15450</v>
          </cell>
        </row>
        <row r="1090">
          <cell r="A1090">
            <v>2003</v>
          </cell>
          <cell r="B1090">
            <v>6</v>
          </cell>
          <cell r="C1090">
            <v>2</v>
          </cell>
          <cell r="D1090">
            <v>360</v>
          </cell>
          <cell r="E1090">
            <v>2</v>
          </cell>
          <cell r="F1090" t="str">
            <v>USD</v>
          </cell>
          <cell r="G1090">
            <v>7</v>
          </cell>
          <cell r="H1090">
            <v>309000</v>
          </cell>
          <cell r="I1090">
            <v>1</v>
          </cell>
          <cell r="J1090" t="str">
            <v>ТАК ПСБ "Ориёнбанк"</v>
          </cell>
          <cell r="K1090">
            <v>2163000</v>
          </cell>
          <cell r="L1090">
            <v>309000</v>
          </cell>
          <cell r="M1090">
            <v>1</v>
          </cell>
          <cell r="N1090">
            <v>2163000</v>
          </cell>
        </row>
        <row r="1091">
          <cell r="A1091">
            <v>2003</v>
          </cell>
          <cell r="B1091">
            <v>6</v>
          </cell>
          <cell r="C1091">
            <v>2</v>
          </cell>
          <cell r="D1091">
            <v>360</v>
          </cell>
          <cell r="E1091">
            <v>2</v>
          </cell>
          <cell r="F1091" t="str">
            <v>USD</v>
          </cell>
          <cell r="G1091">
            <v>10</v>
          </cell>
          <cell r="H1091">
            <v>170086</v>
          </cell>
          <cell r="I1091">
            <v>5</v>
          </cell>
          <cell r="J1091" t="str">
            <v>ТАК ПСБ "Ориёнбанк"</v>
          </cell>
          <cell r="K1091">
            <v>1700860</v>
          </cell>
          <cell r="L1091">
            <v>170086</v>
          </cell>
          <cell r="M1091">
            <v>1</v>
          </cell>
          <cell r="N1091">
            <v>1700860</v>
          </cell>
        </row>
        <row r="1092">
          <cell r="A1092">
            <v>2003</v>
          </cell>
          <cell r="B1092">
            <v>6</v>
          </cell>
          <cell r="C1092">
            <v>2</v>
          </cell>
          <cell r="D1092">
            <v>360</v>
          </cell>
          <cell r="E1092">
            <v>2</v>
          </cell>
          <cell r="F1092" t="str">
            <v>USD</v>
          </cell>
          <cell r="G1092">
            <v>13</v>
          </cell>
          <cell r="H1092">
            <v>207530</v>
          </cell>
          <cell r="I1092">
            <v>8</v>
          </cell>
          <cell r="J1092" t="str">
            <v>ТАК ПСБ "Ориёнбанк"</v>
          </cell>
          <cell r="K1092">
            <v>2697890</v>
          </cell>
          <cell r="L1092">
            <v>207530</v>
          </cell>
          <cell r="M1092">
            <v>1</v>
          </cell>
          <cell r="N1092">
            <v>2697890</v>
          </cell>
        </row>
        <row r="1093">
          <cell r="A1093">
            <v>2003</v>
          </cell>
          <cell r="B1093">
            <v>6</v>
          </cell>
          <cell r="C1093">
            <v>2</v>
          </cell>
          <cell r="D1093">
            <v>360</v>
          </cell>
          <cell r="E1093">
            <v>2</v>
          </cell>
          <cell r="F1093" t="str">
            <v>USD</v>
          </cell>
          <cell r="G1093">
            <v>18</v>
          </cell>
          <cell r="H1093">
            <v>16816707</v>
          </cell>
          <cell r="I1093">
            <v>8</v>
          </cell>
          <cell r="J1093" t="str">
            <v>ТАК ПСБ "Ориёнбанк"</v>
          </cell>
          <cell r="K1093">
            <v>302700726</v>
          </cell>
          <cell r="L1093">
            <v>16816707</v>
          </cell>
          <cell r="M1093">
            <v>1</v>
          </cell>
          <cell r="N1093">
            <v>302700726</v>
          </cell>
        </row>
        <row r="1094">
          <cell r="A1094">
            <v>2003</v>
          </cell>
          <cell r="B1094">
            <v>6</v>
          </cell>
          <cell r="C1094">
            <v>2</v>
          </cell>
          <cell r="D1094">
            <v>390</v>
          </cell>
          <cell r="E1094">
            <v>2</v>
          </cell>
          <cell r="F1094" t="str">
            <v>USD</v>
          </cell>
          <cell r="G1094">
            <v>7</v>
          </cell>
          <cell r="H1094">
            <v>27810</v>
          </cell>
          <cell r="I1094">
            <v>1</v>
          </cell>
          <cell r="J1094" t="str">
            <v>ТАК ПСБ "Ориёнбанк"</v>
          </cell>
          <cell r="K1094">
            <v>194670</v>
          </cell>
          <cell r="L1094">
            <v>27810</v>
          </cell>
          <cell r="M1094">
            <v>1</v>
          </cell>
          <cell r="N1094">
            <v>194670</v>
          </cell>
        </row>
        <row r="1095">
          <cell r="A1095">
            <v>2003</v>
          </cell>
          <cell r="B1095">
            <v>6</v>
          </cell>
          <cell r="C1095">
            <v>2</v>
          </cell>
          <cell r="D1095">
            <v>390</v>
          </cell>
          <cell r="E1095">
            <v>2</v>
          </cell>
          <cell r="F1095" t="str">
            <v>USD</v>
          </cell>
          <cell r="G1095">
            <v>13</v>
          </cell>
          <cell r="H1095">
            <v>15542</v>
          </cell>
          <cell r="I1095">
            <v>2</v>
          </cell>
          <cell r="J1095" t="str">
            <v>ТАК ПСБ "Ориёнбанк"</v>
          </cell>
          <cell r="K1095">
            <v>202046</v>
          </cell>
          <cell r="L1095">
            <v>15542</v>
          </cell>
          <cell r="M1095">
            <v>1</v>
          </cell>
          <cell r="N1095">
            <v>202046</v>
          </cell>
        </row>
        <row r="1096">
          <cell r="A1096">
            <v>2003</v>
          </cell>
          <cell r="B1096">
            <v>6</v>
          </cell>
          <cell r="C1096">
            <v>2</v>
          </cell>
          <cell r="D1096">
            <v>390</v>
          </cell>
          <cell r="E1096">
            <v>2</v>
          </cell>
          <cell r="F1096" t="str">
            <v>USD</v>
          </cell>
          <cell r="G1096">
            <v>16</v>
          </cell>
          <cell r="H1096">
            <v>15450</v>
          </cell>
          <cell r="I1096">
            <v>1</v>
          </cell>
          <cell r="J1096" t="str">
            <v>ТАК ПСБ "Ориёнбанк"</v>
          </cell>
          <cell r="K1096">
            <v>247200</v>
          </cell>
          <cell r="L1096">
            <v>15450</v>
          </cell>
          <cell r="M1096">
            <v>1</v>
          </cell>
          <cell r="N1096">
            <v>247200</v>
          </cell>
        </row>
        <row r="1097">
          <cell r="A1097">
            <v>2003</v>
          </cell>
          <cell r="B1097">
            <v>6</v>
          </cell>
          <cell r="C1097">
            <v>2</v>
          </cell>
          <cell r="D1097">
            <v>390</v>
          </cell>
          <cell r="E1097">
            <v>2</v>
          </cell>
          <cell r="F1097" t="str">
            <v>USD</v>
          </cell>
          <cell r="G1097">
            <v>18</v>
          </cell>
          <cell r="H1097">
            <v>787950</v>
          </cell>
          <cell r="I1097">
            <v>2</v>
          </cell>
          <cell r="J1097" t="str">
            <v>ТАК ПСБ "Ориёнбанк"</v>
          </cell>
          <cell r="K1097">
            <v>14183100</v>
          </cell>
          <cell r="L1097">
            <v>787950</v>
          </cell>
          <cell r="M1097">
            <v>1</v>
          </cell>
          <cell r="N1097">
            <v>14183100</v>
          </cell>
        </row>
        <row r="1098">
          <cell r="A1098">
            <v>2003</v>
          </cell>
          <cell r="B1098">
            <v>6</v>
          </cell>
          <cell r="C1098">
            <v>2</v>
          </cell>
          <cell r="D1098">
            <v>720</v>
          </cell>
          <cell r="E1098">
            <v>2</v>
          </cell>
          <cell r="F1098" t="str">
            <v>USD</v>
          </cell>
          <cell r="G1098">
            <v>13</v>
          </cell>
          <cell r="H1098">
            <v>12360</v>
          </cell>
          <cell r="I1098">
            <v>1</v>
          </cell>
          <cell r="J1098" t="str">
            <v>ТАК ПСБ "Ориёнбанк"</v>
          </cell>
          <cell r="K1098">
            <v>160680</v>
          </cell>
          <cell r="L1098">
            <v>12360</v>
          </cell>
          <cell r="M1098">
            <v>1</v>
          </cell>
          <cell r="N1098">
            <v>160680</v>
          </cell>
        </row>
        <row r="1099">
          <cell r="A1099">
            <v>2003</v>
          </cell>
          <cell r="B1099">
            <v>6</v>
          </cell>
          <cell r="C1099">
            <v>2</v>
          </cell>
          <cell r="D1099">
            <v>720</v>
          </cell>
          <cell r="E1099">
            <v>2</v>
          </cell>
          <cell r="F1099" t="str">
            <v>USD</v>
          </cell>
          <cell r="G1099">
            <v>18</v>
          </cell>
          <cell r="H1099">
            <v>42570</v>
          </cell>
          <cell r="I1099">
            <v>2</v>
          </cell>
          <cell r="J1099" t="str">
            <v>ТАК ПСБ "Ориёнбанк"</v>
          </cell>
          <cell r="K1099">
            <v>766260</v>
          </cell>
          <cell r="L1099">
            <v>42570</v>
          </cell>
          <cell r="M1099">
            <v>1</v>
          </cell>
          <cell r="N1099">
            <v>766260</v>
          </cell>
        </row>
        <row r="1100">
          <cell r="A1100">
            <v>2003</v>
          </cell>
          <cell r="B1100">
            <v>6</v>
          </cell>
          <cell r="C1100">
            <v>3</v>
          </cell>
          <cell r="D1100">
            <v>0</v>
          </cell>
          <cell r="E1100">
            <v>2</v>
          </cell>
          <cell r="F1100" t="str">
            <v>USD</v>
          </cell>
          <cell r="G1100">
            <v>0</v>
          </cell>
          <cell r="H1100">
            <v>124402</v>
          </cell>
          <cell r="I1100">
            <v>192</v>
          </cell>
          <cell r="J1100" t="str">
            <v>ТАК ПСБ "Ориёнбанк"</v>
          </cell>
          <cell r="K1100">
            <v>0</v>
          </cell>
          <cell r="L1100">
            <v>124402</v>
          </cell>
          <cell r="M1100">
            <v>1</v>
          </cell>
          <cell r="N1100">
            <v>0</v>
          </cell>
        </row>
        <row r="1101">
          <cell r="A1101">
            <v>2003</v>
          </cell>
          <cell r="B1101">
            <v>6</v>
          </cell>
          <cell r="C1101">
            <v>1</v>
          </cell>
          <cell r="D1101">
            <v>0</v>
          </cell>
          <cell r="E1101">
            <v>0</v>
          </cell>
          <cell r="F1101" t="str">
            <v>RUR</v>
          </cell>
          <cell r="G1101">
            <v>0</v>
          </cell>
          <cell r="H1101">
            <v>64780</v>
          </cell>
          <cell r="I1101">
            <v>11</v>
          </cell>
          <cell r="J1101" t="str">
            <v>ТАК ПСБ "Ориёнбанк"</v>
          </cell>
          <cell r="K1101">
            <v>0</v>
          </cell>
          <cell r="L1101">
            <v>64780</v>
          </cell>
          <cell r="M1101">
            <v>1</v>
          </cell>
          <cell r="N1101">
            <v>0</v>
          </cell>
        </row>
        <row r="1102">
          <cell r="A1102">
            <v>2003</v>
          </cell>
          <cell r="B1102">
            <v>6</v>
          </cell>
          <cell r="C1102">
            <v>1</v>
          </cell>
          <cell r="D1102">
            <v>0</v>
          </cell>
          <cell r="E1102">
            <v>1</v>
          </cell>
          <cell r="F1102" t="str">
            <v>RUR</v>
          </cell>
          <cell r="G1102">
            <v>0</v>
          </cell>
          <cell r="H1102">
            <v>2037379</v>
          </cell>
          <cell r="I1102">
            <v>126</v>
          </cell>
          <cell r="J1102" t="str">
            <v>ТАК ПСБ "Ориёнбанк"</v>
          </cell>
          <cell r="K1102">
            <v>0</v>
          </cell>
          <cell r="L1102">
            <v>2037379</v>
          </cell>
          <cell r="M1102">
            <v>1</v>
          </cell>
          <cell r="N1102">
            <v>0</v>
          </cell>
        </row>
        <row r="1103">
          <cell r="A1103">
            <v>2003</v>
          </cell>
          <cell r="B1103">
            <v>6</v>
          </cell>
          <cell r="C1103">
            <v>2</v>
          </cell>
          <cell r="D1103">
            <v>35</v>
          </cell>
          <cell r="E1103">
            <v>2</v>
          </cell>
          <cell r="F1103" t="str">
            <v>RUR</v>
          </cell>
          <cell r="G1103">
            <v>3</v>
          </cell>
          <cell r="H1103">
            <v>2723</v>
          </cell>
          <cell r="I1103">
            <v>1</v>
          </cell>
          <cell r="J1103" t="str">
            <v>ТАК ПСБ "Ориёнбанк"</v>
          </cell>
          <cell r="K1103">
            <v>8169</v>
          </cell>
          <cell r="L1103">
            <v>2723</v>
          </cell>
          <cell r="M1103">
            <v>1</v>
          </cell>
          <cell r="N1103">
            <v>8169</v>
          </cell>
        </row>
        <row r="1104">
          <cell r="A1104">
            <v>2003</v>
          </cell>
          <cell r="B1104">
            <v>6</v>
          </cell>
          <cell r="C1104">
            <v>2</v>
          </cell>
          <cell r="D1104">
            <v>360</v>
          </cell>
          <cell r="E1104">
            <v>2</v>
          </cell>
          <cell r="F1104" t="str">
            <v>RUR</v>
          </cell>
          <cell r="G1104">
            <v>5</v>
          </cell>
          <cell r="H1104">
            <v>6713</v>
          </cell>
          <cell r="I1104">
            <v>1</v>
          </cell>
          <cell r="J1104" t="str">
            <v>ТАК ПСБ "Ориёнбанк"</v>
          </cell>
          <cell r="K1104">
            <v>33565</v>
          </cell>
          <cell r="L1104">
            <v>6713</v>
          </cell>
          <cell r="M1104">
            <v>1</v>
          </cell>
          <cell r="N1104">
            <v>33565</v>
          </cell>
        </row>
        <row r="1105">
          <cell r="A1105">
            <v>2003</v>
          </cell>
          <cell r="B1105">
            <v>6</v>
          </cell>
          <cell r="C1105">
            <v>1</v>
          </cell>
          <cell r="D1105">
            <v>0</v>
          </cell>
          <cell r="E1105">
            <v>0</v>
          </cell>
          <cell r="F1105" t="str">
            <v>EURO</v>
          </cell>
          <cell r="G1105">
            <v>0</v>
          </cell>
          <cell r="H1105">
            <v>26005</v>
          </cell>
          <cell r="I1105">
            <v>2</v>
          </cell>
          <cell r="J1105" t="str">
            <v>ТАК ПСБ "Ориёнбанк"</v>
          </cell>
          <cell r="K1105">
            <v>0</v>
          </cell>
          <cell r="L1105">
            <v>26005</v>
          </cell>
          <cell r="M1105">
            <v>1</v>
          </cell>
          <cell r="N1105">
            <v>0</v>
          </cell>
        </row>
        <row r="1106">
          <cell r="A1106">
            <v>2003</v>
          </cell>
          <cell r="B1106">
            <v>6</v>
          </cell>
          <cell r="C1106">
            <v>1</v>
          </cell>
          <cell r="D1106">
            <v>0</v>
          </cell>
          <cell r="E1106">
            <v>1</v>
          </cell>
          <cell r="F1106" t="str">
            <v>EURO</v>
          </cell>
          <cell r="G1106">
            <v>0</v>
          </cell>
          <cell r="H1106">
            <v>290193</v>
          </cell>
          <cell r="I1106">
            <v>7</v>
          </cell>
          <cell r="J1106" t="str">
            <v>ТАК ПСБ "Ориёнбанк"</v>
          </cell>
          <cell r="K1106">
            <v>0</v>
          </cell>
          <cell r="L1106">
            <v>290193</v>
          </cell>
          <cell r="M1106">
            <v>1</v>
          </cell>
          <cell r="N1106">
            <v>0</v>
          </cell>
        </row>
        <row r="1107">
          <cell r="A1107">
            <v>2003</v>
          </cell>
          <cell r="B1107">
            <v>6</v>
          </cell>
          <cell r="C1107">
            <v>2</v>
          </cell>
          <cell r="D1107">
            <v>360</v>
          </cell>
          <cell r="E1107">
            <v>2</v>
          </cell>
          <cell r="F1107" t="str">
            <v>EURO</v>
          </cell>
          <cell r="G1107">
            <v>7</v>
          </cell>
          <cell r="H1107">
            <v>3597</v>
          </cell>
          <cell r="I1107">
            <v>1</v>
          </cell>
          <cell r="J1107" t="str">
            <v>ТАК ПСБ "Ориёнбанк"</v>
          </cell>
          <cell r="K1107">
            <v>25179</v>
          </cell>
          <cell r="L1107">
            <v>3597</v>
          </cell>
          <cell r="M1107">
            <v>1</v>
          </cell>
          <cell r="N1107">
            <v>25179</v>
          </cell>
        </row>
        <row r="1108">
          <cell r="A1108">
            <v>2003</v>
          </cell>
          <cell r="B1108">
            <v>6</v>
          </cell>
          <cell r="C1108">
            <v>1</v>
          </cell>
          <cell r="D1108">
            <v>0</v>
          </cell>
          <cell r="E1108">
            <v>2</v>
          </cell>
          <cell r="F1108" t="str">
            <v>TJS</v>
          </cell>
          <cell r="G1108">
            <v>0</v>
          </cell>
          <cell r="H1108">
            <v>868979</v>
          </cell>
          <cell r="I1108">
            <v>18</v>
          </cell>
          <cell r="J1108" t="str">
            <v>КБ "Сомон-банк"</v>
          </cell>
          <cell r="K1108">
            <v>0</v>
          </cell>
          <cell r="L1108">
            <v>868979</v>
          </cell>
          <cell r="M1108">
            <v>1</v>
          </cell>
          <cell r="N1108">
            <v>0</v>
          </cell>
        </row>
        <row r="1109">
          <cell r="A1109">
            <v>2003</v>
          </cell>
          <cell r="B1109">
            <v>6</v>
          </cell>
          <cell r="C1109">
            <v>3</v>
          </cell>
          <cell r="D1109">
            <v>0</v>
          </cell>
          <cell r="E1109">
            <v>2</v>
          </cell>
          <cell r="F1109" t="str">
            <v>TJS</v>
          </cell>
          <cell r="G1109">
            <v>1</v>
          </cell>
          <cell r="H1109">
            <v>2161</v>
          </cell>
          <cell r="I1109">
            <v>1</v>
          </cell>
          <cell r="J1109" t="str">
            <v>КБ "Сомон-банк"</v>
          </cell>
          <cell r="K1109">
            <v>2161</v>
          </cell>
          <cell r="L1109">
            <v>2161</v>
          </cell>
          <cell r="M1109">
            <v>1</v>
          </cell>
          <cell r="N1109">
            <v>2161</v>
          </cell>
        </row>
        <row r="1110">
          <cell r="A1110">
            <v>2003</v>
          </cell>
          <cell r="B1110">
            <v>6</v>
          </cell>
          <cell r="C1110">
            <v>1</v>
          </cell>
          <cell r="D1110">
            <v>0</v>
          </cell>
          <cell r="E1110">
            <v>1</v>
          </cell>
          <cell r="F1110" t="str">
            <v>TJS</v>
          </cell>
          <cell r="G1110">
            <v>0</v>
          </cell>
          <cell r="H1110">
            <v>490146</v>
          </cell>
          <cell r="I1110">
            <v>5</v>
          </cell>
          <cell r="J1110" t="str">
            <v>СЛТ АКБ "Ист-Кредитбанк"</v>
          </cell>
          <cell r="K1110">
            <v>0</v>
          </cell>
          <cell r="L1110">
            <v>490146</v>
          </cell>
          <cell r="M1110">
            <v>1</v>
          </cell>
          <cell r="N1110">
            <v>0</v>
          </cell>
        </row>
        <row r="1111">
          <cell r="A1111">
            <v>2003</v>
          </cell>
          <cell r="B1111">
            <v>6</v>
          </cell>
          <cell r="C1111">
            <v>1</v>
          </cell>
          <cell r="D1111">
            <v>0</v>
          </cell>
          <cell r="E1111">
            <v>1</v>
          </cell>
          <cell r="F1111" t="str">
            <v>USD</v>
          </cell>
          <cell r="G1111">
            <v>0</v>
          </cell>
          <cell r="H1111">
            <v>210120</v>
          </cell>
          <cell r="I1111">
            <v>3</v>
          </cell>
          <cell r="J1111" t="str">
            <v>СЛТ АКБ "Ист-Кредитбанк"</v>
          </cell>
          <cell r="K1111">
            <v>0</v>
          </cell>
          <cell r="L1111">
            <v>210120</v>
          </cell>
          <cell r="M1111">
            <v>1</v>
          </cell>
          <cell r="N1111">
            <v>0</v>
          </cell>
        </row>
        <row r="1112">
          <cell r="A1112">
            <v>2003</v>
          </cell>
          <cell r="B1112">
            <v>6</v>
          </cell>
          <cell r="C1112">
            <v>1</v>
          </cell>
          <cell r="D1112">
            <v>0</v>
          </cell>
          <cell r="E1112">
            <v>1</v>
          </cell>
          <cell r="F1112" t="str">
            <v>TJS</v>
          </cell>
          <cell r="G1112">
            <v>0</v>
          </cell>
          <cell r="H1112">
            <v>6536328</v>
          </cell>
          <cell r="I1112">
            <v>29</v>
          </cell>
          <cell r="J1112" t="str">
            <v>АООТ "Ходжент"</v>
          </cell>
          <cell r="K1112">
            <v>0</v>
          </cell>
          <cell r="L1112">
            <v>6536328</v>
          </cell>
          <cell r="M1112">
            <v>1</v>
          </cell>
          <cell r="N1112">
            <v>0</v>
          </cell>
        </row>
        <row r="1113">
          <cell r="A1113">
            <v>2003</v>
          </cell>
          <cell r="B1113">
            <v>6</v>
          </cell>
          <cell r="C1113">
            <v>1</v>
          </cell>
          <cell r="D1113">
            <v>0</v>
          </cell>
          <cell r="E1113">
            <v>2</v>
          </cell>
          <cell r="F1113" t="str">
            <v>USD</v>
          </cell>
          <cell r="G1113">
            <v>0</v>
          </cell>
          <cell r="H1113">
            <v>2607624</v>
          </cell>
          <cell r="I1113">
            <v>6</v>
          </cell>
          <cell r="J1113" t="str">
            <v>АООТ "Ходжент"</v>
          </cell>
          <cell r="K1113">
            <v>0</v>
          </cell>
          <cell r="L1113">
            <v>2607624</v>
          </cell>
          <cell r="M1113">
            <v>1</v>
          </cell>
          <cell r="N1113">
            <v>0</v>
          </cell>
        </row>
        <row r="1114">
          <cell r="A1114">
            <v>2003</v>
          </cell>
          <cell r="B1114">
            <v>6</v>
          </cell>
          <cell r="C1114">
            <v>2</v>
          </cell>
          <cell r="D1114">
            <v>384</v>
          </cell>
          <cell r="E1114">
            <v>2</v>
          </cell>
          <cell r="F1114" t="str">
            <v>USD</v>
          </cell>
          <cell r="G1114">
            <v>20</v>
          </cell>
          <cell r="H1114">
            <v>30900</v>
          </cell>
          <cell r="I1114">
            <v>1</v>
          </cell>
          <cell r="J1114" t="str">
            <v>АООТ "Ходжент"</v>
          </cell>
          <cell r="K1114">
            <v>618000</v>
          </cell>
          <cell r="L1114">
            <v>30900</v>
          </cell>
          <cell r="M1114">
            <v>1</v>
          </cell>
          <cell r="N1114">
            <v>618000</v>
          </cell>
        </row>
        <row r="1115">
          <cell r="A1115">
            <v>2003</v>
          </cell>
          <cell r="B1115">
            <v>6</v>
          </cell>
          <cell r="C1115">
            <v>2</v>
          </cell>
          <cell r="D1115">
            <v>394</v>
          </cell>
          <cell r="E1115">
            <v>2</v>
          </cell>
          <cell r="F1115" t="str">
            <v>USD</v>
          </cell>
          <cell r="G1115">
            <v>25</v>
          </cell>
          <cell r="H1115">
            <v>15450</v>
          </cell>
          <cell r="I1115">
            <v>1</v>
          </cell>
          <cell r="J1115" t="str">
            <v>АООТ "Ходжент"</v>
          </cell>
          <cell r="K1115">
            <v>386250</v>
          </cell>
          <cell r="L1115">
            <v>15450</v>
          </cell>
          <cell r="M1115">
            <v>1</v>
          </cell>
          <cell r="N1115">
            <v>386250</v>
          </cell>
        </row>
        <row r="1116">
          <cell r="A1116">
            <v>2003</v>
          </cell>
          <cell r="B1116">
            <v>6</v>
          </cell>
          <cell r="C1116">
            <v>2</v>
          </cell>
          <cell r="D1116">
            <v>382</v>
          </cell>
          <cell r="E1116">
            <v>2</v>
          </cell>
          <cell r="F1116" t="str">
            <v>USD</v>
          </cell>
          <cell r="G1116">
            <v>20</v>
          </cell>
          <cell r="H1116">
            <v>21630</v>
          </cell>
          <cell r="I1116">
            <v>1</v>
          </cell>
          <cell r="J1116" t="str">
            <v>АООТ "Ходжент"</v>
          </cell>
          <cell r="K1116">
            <v>432600</v>
          </cell>
          <cell r="L1116">
            <v>21630</v>
          </cell>
          <cell r="M1116">
            <v>1</v>
          </cell>
          <cell r="N1116">
            <v>432600</v>
          </cell>
        </row>
        <row r="1117">
          <cell r="A1117">
            <v>2003</v>
          </cell>
          <cell r="B1117">
            <v>6</v>
          </cell>
          <cell r="C1117">
            <v>2</v>
          </cell>
          <cell r="D1117">
            <v>369</v>
          </cell>
          <cell r="E1117">
            <v>2</v>
          </cell>
          <cell r="F1117" t="str">
            <v>USD</v>
          </cell>
          <cell r="G1117">
            <v>20</v>
          </cell>
          <cell r="H1117">
            <v>15450</v>
          </cell>
          <cell r="I1117">
            <v>2</v>
          </cell>
          <cell r="J1117" t="str">
            <v>АООТ "Ходжент"</v>
          </cell>
          <cell r="K1117">
            <v>309000</v>
          </cell>
          <cell r="L1117">
            <v>15450</v>
          </cell>
          <cell r="M1117">
            <v>1</v>
          </cell>
          <cell r="N1117">
            <v>309000</v>
          </cell>
        </row>
        <row r="1118">
          <cell r="A1118">
            <v>2003</v>
          </cell>
          <cell r="B1118">
            <v>6</v>
          </cell>
          <cell r="C1118">
            <v>2</v>
          </cell>
          <cell r="D1118">
            <v>365</v>
          </cell>
          <cell r="E1118">
            <v>2</v>
          </cell>
          <cell r="F1118" t="str">
            <v>USD</v>
          </cell>
          <cell r="G1118">
            <v>20</v>
          </cell>
          <cell r="H1118">
            <v>7725</v>
          </cell>
          <cell r="I1118">
            <v>1</v>
          </cell>
          <cell r="J1118" t="str">
            <v>АООТ "Ходжент"</v>
          </cell>
          <cell r="K1118">
            <v>154500</v>
          </cell>
          <cell r="L1118">
            <v>7725</v>
          </cell>
          <cell r="M1118">
            <v>1</v>
          </cell>
          <cell r="N1118">
            <v>154500</v>
          </cell>
        </row>
        <row r="1119">
          <cell r="A1119">
            <v>2003</v>
          </cell>
          <cell r="B1119">
            <v>6</v>
          </cell>
          <cell r="C1119">
            <v>2</v>
          </cell>
          <cell r="D1119">
            <v>372</v>
          </cell>
          <cell r="E1119">
            <v>2</v>
          </cell>
          <cell r="F1119" t="str">
            <v>USD</v>
          </cell>
          <cell r="G1119">
            <v>15</v>
          </cell>
          <cell r="H1119">
            <v>103515</v>
          </cell>
          <cell r="I1119">
            <v>2</v>
          </cell>
          <cell r="J1119" t="str">
            <v>АООТ "Ходжент"</v>
          </cell>
          <cell r="K1119">
            <v>1552725</v>
          </cell>
          <cell r="L1119">
            <v>103515</v>
          </cell>
          <cell r="M1119">
            <v>1</v>
          </cell>
          <cell r="N1119">
            <v>1552725</v>
          </cell>
        </row>
        <row r="1120">
          <cell r="A1120">
            <v>2003</v>
          </cell>
          <cell r="B1120">
            <v>6</v>
          </cell>
          <cell r="C1120">
            <v>1</v>
          </cell>
          <cell r="D1120">
            <v>210</v>
          </cell>
          <cell r="E1120">
            <v>2</v>
          </cell>
          <cell r="F1120" t="str">
            <v>TJS</v>
          </cell>
          <cell r="G1120">
            <v>30</v>
          </cell>
          <cell r="H1120">
            <v>20000</v>
          </cell>
          <cell r="I1120">
            <v>1</v>
          </cell>
          <cell r="J1120" t="str">
            <v>КТО "Дехконбанк"</v>
          </cell>
          <cell r="K1120">
            <v>600000</v>
          </cell>
          <cell r="L1120">
            <v>20000</v>
          </cell>
          <cell r="M1120">
            <v>1</v>
          </cell>
          <cell r="N1120">
            <v>600000</v>
          </cell>
        </row>
        <row r="1121">
          <cell r="A1121">
            <v>2003</v>
          </cell>
          <cell r="B1121">
            <v>6</v>
          </cell>
          <cell r="C1121">
            <v>1</v>
          </cell>
          <cell r="D1121">
            <v>180</v>
          </cell>
          <cell r="E1121">
            <v>2</v>
          </cell>
          <cell r="F1121" t="str">
            <v>TJS</v>
          </cell>
          <cell r="G1121">
            <v>30</v>
          </cell>
          <cell r="H1121">
            <v>8000</v>
          </cell>
          <cell r="I1121">
            <v>1</v>
          </cell>
          <cell r="J1121" t="str">
            <v>КТО "Дехконбанк"</v>
          </cell>
          <cell r="K1121">
            <v>240000</v>
          </cell>
          <cell r="L1121">
            <v>8000</v>
          </cell>
          <cell r="M1121">
            <v>1</v>
          </cell>
          <cell r="N1121">
            <v>240000</v>
          </cell>
        </row>
        <row r="1122">
          <cell r="A1122">
            <v>2003</v>
          </cell>
          <cell r="B1122">
            <v>6</v>
          </cell>
          <cell r="C1122">
            <v>1</v>
          </cell>
          <cell r="D1122">
            <v>0</v>
          </cell>
          <cell r="E1122">
            <v>2</v>
          </cell>
          <cell r="F1122" t="str">
            <v>TJS</v>
          </cell>
          <cell r="G1122">
            <v>6</v>
          </cell>
          <cell r="H1122">
            <v>329</v>
          </cell>
          <cell r="I1122">
            <v>1</v>
          </cell>
          <cell r="J1122" t="str">
            <v>КТОО "Финансирование торговли"</v>
          </cell>
          <cell r="K1122">
            <v>1974</v>
          </cell>
          <cell r="L1122">
            <v>329</v>
          </cell>
          <cell r="M1122">
            <v>1</v>
          </cell>
          <cell r="N1122">
            <v>1974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 KPЕД"/>
      <sheetName val="НАЦ КРЕД"/>
      <sheetName val="ИН КРЕД"/>
      <sheetName val="Репрезентативные ставки КРе нац"/>
      <sheetName val="Репрезентативные ставки КРЕ ИН"/>
      <sheetName val="USD"/>
      <sheetName val="TJS"/>
      <sheetName val="ОБМЕН КРЕД"/>
      <sheetName val="МЕГОСБАНК КРЕД"/>
      <sheetName val="RUR"/>
      <sheetName val="КРЕД ФИЗ ЛИЦ"/>
      <sheetName val="КРЕД НЕБ ЮР ЛИЦ"/>
      <sheetName val="РЕП КРЕД"/>
    </sheetNames>
    <sheetDataSet>
      <sheetData sheetId="0">
        <row r="6">
          <cell r="A6" t="str">
            <v>Год</v>
          </cell>
          <cell r="B6" t="str">
            <v>Месяц</v>
          </cell>
          <cell r="C6" t="str">
            <v>Вид ссуд</v>
          </cell>
          <cell r="D6" t="str">
            <v>Срок, дней</v>
          </cell>
          <cell r="E6" t="str">
            <v>Ссудозаёмщики</v>
          </cell>
          <cell r="F6" t="str">
            <v>Код валюты</v>
          </cell>
          <cell r="G6" t="str">
            <v>Ставка, % годовых</v>
          </cell>
          <cell r="H6" t="str">
            <v>Сумма кредитов, сомони </v>
          </cell>
          <cell r="I6" t="str">
            <v>Количество кредитов </v>
          </cell>
          <cell r="J6" t="str">
            <v>БАНК</v>
          </cell>
          <cell r="K6" t="str">
            <v>РАСЧЁТ</v>
          </cell>
          <cell r="L6" t="str">
            <v>Сумма кредитов, пересчет</v>
          </cell>
          <cell r="M6" t="str">
            <v>ПЕРЕРАСЧЁТ КУРСА</v>
          </cell>
          <cell r="N6" t="str">
            <v>РАСЧЁТ1</v>
          </cell>
        </row>
        <row r="7">
          <cell r="A7">
            <v>2003</v>
          </cell>
          <cell r="B7">
            <v>1</v>
          </cell>
          <cell r="C7">
            <v>2</v>
          </cell>
          <cell r="D7">
            <v>123</v>
          </cell>
          <cell r="E7">
            <v>1</v>
          </cell>
          <cell r="F7" t="str">
            <v>TJS</v>
          </cell>
          <cell r="G7">
            <v>12</v>
          </cell>
          <cell r="H7">
            <v>43255</v>
          </cell>
          <cell r="I7">
            <v>1</v>
          </cell>
          <cell r="J7" t="str">
            <v>АК АПИБ "Агроинвестбанк"</v>
          </cell>
          <cell r="K7">
            <v>519060</v>
          </cell>
          <cell r="L7">
            <v>43255</v>
          </cell>
          <cell r="M7">
            <v>1</v>
          </cell>
          <cell r="N7">
            <v>519060</v>
          </cell>
        </row>
        <row r="8">
          <cell r="A8">
            <v>2003</v>
          </cell>
          <cell r="B8">
            <v>1</v>
          </cell>
          <cell r="C8">
            <v>2</v>
          </cell>
          <cell r="D8">
            <v>143</v>
          </cell>
          <cell r="E8">
            <v>1</v>
          </cell>
          <cell r="F8" t="str">
            <v>TJS</v>
          </cell>
          <cell r="G8">
            <v>12</v>
          </cell>
          <cell r="H8">
            <v>28000</v>
          </cell>
          <cell r="I8">
            <v>1</v>
          </cell>
          <cell r="J8" t="str">
            <v>АК АПИБ "Агроинвестбанк"</v>
          </cell>
          <cell r="K8">
            <v>336000</v>
          </cell>
          <cell r="L8">
            <v>28000</v>
          </cell>
          <cell r="M8">
            <v>1</v>
          </cell>
          <cell r="N8">
            <v>336000</v>
          </cell>
        </row>
        <row r="9">
          <cell r="A9">
            <v>2003</v>
          </cell>
          <cell r="B9">
            <v>1</v>
          </cell>
          <cell r="C9">
            <v>3</v>
          </cell>
          <cell r="D9">
            <v>90</v>
          </cell>
          <cell r="E9">
            <v>1</v>
          </cell>
          <cell r="F9" t="str">
            <v>TJS</v>
          </cell>
          <cell r="G9">
            <v>30</v>
          </cell>
          <cell r="H9">
            <v>40000</v>
          </cell>
          <cell r="I9">
            <v>1</v>
          </cell>
          <cell r="J9" t="str">
            <v>АК АПИБ "Агроинвестбанк"</v>
          </cell>
          <cell r="K9">
            <v>1200000</v>
          </cell>
          <cell r="L9">
            <v>40000</v>
          </cell>
          <cell r="M9">
            <v>1</v>
          </cell>
          <cell r="N9">
            <v>1200000</v>
          </cell>
        </row>
        <row r="10">
          <cell r="A10">
            <v>2003</v>
          </cell>
          <cell r="B10">
            <v>1</v>
          </cell>
          <cell r="C10">
            <v>1</v>
          </cell>
          <cell r="D10">
            <v>337</v>
          </cell>
          <cell r="E10">
            <v>2</v>
          </cell>
          <cell r="F10" t="str">
            <v>TJS</v>
          </cell>
          <cell r="G10">
            <v>22</v>
          </cell>
          <cell r="H10">
            <v>1000</v>
          </cell>
          <cell r="I10">
            <v>1</v>
          </cell>
          <cell r="J10" t="str">
            <v>АК АПИБ "Агроинвестбанк"</v>
          </cell>
          <cell r="K10">
            <v>22000</v>
          </cell>
          <cell r="L10">
            <v>1000</v>
          </cell>
          <cell r="M10">
            <v>1</v>
          </cell>
          <cell r="N10">
            <v>22000</v>
          </cell>
        </row>
        <row r="11">
          <cell r="A11">
            <v>2003</v>
          </cell>
          <cell r="B11">
            <v>1</v>
          </cell>
          <cell r="C11">
            <v>3</v>
          </cell>
          <cell r="D11">
            <v>144</v>
          </cell>
          <cell r="E11">
            <v>1</v>
          </cell>
          <cell r="F11" t="str">
            <v>TJS</v>
          </cell>
          <cell r="G11">
            <v>30</v>
          </cell>
          <cell r="H11">
            <v>300000</v>
          </cell>
          <cell r="I11">
            <v>1</v>
          </cell>
          <cell r="J11" t="str">
            <v>АК АПИБ "Агроинвестбанк"</v>
          </cell>
          <cell r="K11">
            <v>9000000</v>
          </cell>
          <cell r="L11">
            <v>300000</v>
          </cell>
          <cell r="M11">
            <v>1</v>
          </cell>
          <cell r="N11">
            <v>9000000</v>
          </cell>
        </row>
        <row r="12">
          <cell r="A12">
            <v>2003</v>
          </cell>
          <cell r="B12">
            <v>1</v>
          </cell>
          <cell r="C12">
            <v>1</v>
          </cell>
          <cell r="D12">
            <v>51</v>
          </cell>
          <cell r="E12">
            <v>1</v>
          </cell>
          <cell r="F12" t="str">
            <v>TJS</v>
          </cell>
          <cell r="G12">
            <v>36</v>
          </cell>
          <cell r="H12">
            <v>1500</v>
          </cell>
          <cell r="I12">
            <v>1</v>
          </cell>
          <cell r="J12" t="str">
            <v>АК АПИБ "Агроинвестбанк"</v>
          </cell>
          <cell r="K12">
            <v>54000</v>
          </cell>
          <cell r="L12">
            <v>1500</v>
          </cell>
          <cell r="M12">
            <v>1</v>
          </cell>
          <cell r="N12">
            <v>54000</v>
          </cell>
        </row>
        <row r="13">
          <cell r="A13">
            <v>2003</v>
          </cell>
          <cell r="B13">
            <v>1</v>
          </cell>
          <cell r="C13">
            <v>1</v>
          </cell>
          <cell r="D13">
            <v>49</v>
          </cell>
          <cell r="E13">
            <v>1</v>
          </cell>
          <cell r="F13" t="str">
            <v>TJS</v>
          </cell>
          <cell r="G13">
            <v>36</v>
          </cell>
          <cell r="H13">
            <v>2000</v>
          </cell>
          <cell r="I13">
            <v>1</v>
          </cell>
          <cell r="J13" t="str">
            <v>АК АПИБ "Агроинвестбанк"</v>
          </cell>
          <cell r="K13">
            <v>72000</v>
          </cell>
          <cell r="L13">
            <v>2000</v>
          </cell>
          <cell r="M13">
            <v>1</v>
          </cell>
          <cell r="N13">
            <v>72000</v>
          </cell>
        </row>
        <row r="14">
          <cell r="A14">
            <v>2003</v>
          </cell>
          <cell r="B14">
            <v>1</v>
          </cell>
          <cell r="C14">
            <v>1</v>
          </cell>
          <cell r="D14">
            <v>83</v>
          </cell>
          <cell r="E14">
            <v>1</v>
          </cell>
          <cell r="F14" t="str">
            <v>TJS</v>
          </cell>
          <cell r="G14">
            <v>36</v>
          </cell>
          <cell r="H14">
            <v>500</v>
          </cell>
          <cell r="I14">
            <v>1</v>
          </cell>
          <cell r="J14" t="str">
            <v>АК АПИБ "Агроинвестбанк"</v>
          </cell>
          <cell r="K14">
            <v>18000</v>
          </cell>
          <cell r="L14">
            <v>500</v>
          </cell>
          <cell r="M14">
            <v>1</v>
          </cell>
          <cell r="N14">
            <v>18000</v>
          </cell>
        </row>
        <row r="15">
          <cell r="A15">
            <v>2003</v>
          </cell>
          <cell r="B15">
            <v>1</v>
          </cell>
          <cell r="C15">
            <v>1</v>
          </cell>
          <cell r="D15">
            <v>31</v>
          </cell>
          <cell r="E15">
            <v>1</v>
          </cell>
          <cell r="F15" t="str">
            <v>TJS</v>
          </cell>
          <cell r="G15">
            <v>45</v>
          </cell>
          <cell r="H15">
            <v>3000</v>
          </cell>
          <cell r="I15">
            <v>1</v>
          </cell>
          <cell r="J15" t="str">
            <v>АК АПИБ "Агроинвестбанк"</v>
          </cell>
          <cell r="K15">
            <v>135000</v>
          </cell>
          <cell r="L15">
            <v>3000</v>
          </cell>
          <cell r="M15">
            <v>1</v>
          </cell>
          <cell r="N15">
            <v>135000</v>
          </cell>
        </row>
        <row r="16">
          <cell r="A16">
            <v>2003</v>
          </cell>
          <cell r="B16">
            <v>1</v>
          </cell>
          <cell r="C16">
            <v>1</v>
          </cell>
          <cell r="D16">
            <v>53</v>
          </cell>
          <cell r="E16">
            <v>1</v>
          </cell>
          <cell r="F16" t="str">
            <v>TJS</v>
          </cell>
          <cell r="G16">
            <v>45</v>
          </cell>
          <cell r="H16">
            <v>3000</v>
          </cell>
          <cell r="I16">
            <v>1</v>
          </cell>
          <cell r="J16" t="str">
            <v>АК АПИБ "Агроинвестбанк"</v>
          </cell>
          <cell r="K16">
            <v>135000</v>
          </cell>
          <cell r="L16">
            <v>3000</v>
          </cell>
          <cell r="M16">
            <v>1</v>
          </cell>
          <cell r="N16">
            <v>135000</v>
          </cell>
        </row>
        <row r="17">
          <cell r="A17">
            <v>2003</v>
          </cell>
          <cell r="B17">
            <v>1</v>
          </cell>
          <cell r="C17">
            <v>1</v>
          </cell>
          <cell r="D17">
            <v>119</v>
          </cell>
          <cell r="E17">
            <v>1</v>
          </cell>
          <cell r="F17" t="str">
            <v>TJS</v>
          </cell>
          <cell r="G17">
            <v>30</v>
          </cell>
          <cell r="H17">
            <v>25000</v>
          </cell>
          <cell r="I17">
            <v>1</v>
          </cell>
          <cell r="J17" t="str">
            <v>АК АПИБ "Агроинвестбанк"</v>
          </cell>
          <cell r="K17">
            <v>750000</v>
          </cell>
          <cell r="L17">
            <v>25000</v>
          </cell>
          <cell r="M17">
            <v>1</v>
          </cell>
          <cell r="N17">
            <v>750000</v>
          </cell>
        </row>
        <row r="18">
          <cell r="A18">
            <v>2003</v>
          </cell>
          <cell r="B18">
            <v>1</v>
          </cell>
          <cell r="C18">
            <v>1</v>
          </cell>
          <cell r="D18">
            <v>172</v>
          </cell>
          <cell r="E18">
            <v>2</v>
          </cell>
          <cell r="F18" t="str">
            <v>TJS</v>
          </cell>
          <cell r="G18">
            <v>30</v>
          </cell>
          <cell r="H18">
            <v>1500</v>
          </cell>
          <cell r="I18">
            <v>1</v>
          </cell>
          <cell r="J18" t="str">
            <v>АК АПИБ "Агроинвестбанк"</v>
          </cell>
          <cell r="K18">
            <v>45000</v>
          </cell>
          <cell r="L18">
            <v>1500</v>
          </cell>
          <cell r="M18">
            <v>1</v>
          </cell>
          <cell r="N18">
            <v>45000</v>
          </cell>
        </row>
        <row r="19">
          <cell r="A19">
            <v>2003</v>
          </cell>
          <cell r="B19">
            <v>1</v>
          </cell>
          <cell r="C19">
            <v>1</v>
          </cell>
          <cell r="D19">
            <v>181</v>
          </cell>
          <cell r="E19">
            <v>2</v>
          </cell>
          <cell r="F19" t="str">
            <v>TJS</v>
          </cell>
          <cell r="G19">
            <v>36</v>
          </cell>
          <cell r="H19">
            <v>6000</v>
          </cell>
          <cell r="I19">
            <v>2</v>
          </cell>
          <cell r="J19" t="str">
            <v>АК АПИБ "Агроинвестбанк"</v>
          </cell>
          <cell r="K19">
            <v>216000</v>
          </cell>
          <cell r="L19">
            <v>6000</v>
          </cell>
          <cell r="M19">
            <v>1</v>
          </cell>
          <cell r="N19">
            <v>216000</v>
          </cell>
        </row>
        <row r="20">
          <cell r="A20">
            <v>2003</v>
          </cell>
          <cell r="B20">
            <v>1</v>
          </cell>
          <cell r="C20">
            <v>1</v>
          </cell>
          <cell r="D20">
            <v>322</v>
          </cell>
          <cell r="E20">
            <v>2</v>
          </cell>
          <cell r="F20" t="str">
            <v>TJS</v>
          </cell>
          <cell r="G20">
            <v>30</v>
          </cell>
          <cell r="H20">
            <v>3000</v>
          </cell>
          <cell r="I20">
            <v>1</v>
          </cell>
          <cell r="J20" t="str">
            <v>АК АПИБ "Агроинвестбанк"</v>
          </cell>
          <cell r="K20">
            <v>90000</v>
          </cell>
          <cell r="L20">
            <v>3000</v>
          </cell>
          <cell r="M20">
            <v>1</v>
          </cell>
          <cell r="N20">
            <v>90000</v>
          </cell>
        </row>
        <row r="21">
          <cell r="A21">
            <v>2003</v>
          </cell>
          <cell r="B21">
            <v>1</v>
          </cell>
          <cell r="C21">
            <v>2</v>
          </cell>
          <cell r="D21">
            <v>124</v>
          </cell>
          <cell r="E21">
            <v>1</v>
          </cell>
          <cell r="F21" t="str">
            <v>USD</v>
          </cell>
          <cell r="G21">
            <v>12</v>
          </cell>
          <cell r="H21">
            <v>2060100</v>
          </cell>
          <cell r="I21">
            <v>2</v>
          </cell>
          <cell r="J21" t="str">
            <v>АК АПИБ "Агроинвестбанк"</v>
          </cell>
          <cell r="K21">
            <v>24721200</v>
          </cell>
          <cell r="L21">
            <v>2057050.509868421</v>
          </cell>
          <cell r="M21">
            <v>0.9985197368421052</v>
          </cell>
          <cell r="N21">
            <v>24684606.11842105</v>
          </cell>
        </row>
        <row r="22">
          <cell r="A22">
            <v>2003</v>
          </cell>
          <cell r="B22">
            <v>1</v>
          </cell>
          <cell r="C22">
            <v>2</v>
          </cell>
          <cell r="D22">
            <v>141</v>
          </cell>
          <cell r="E22">
            <v>1</v>
          </cell>
          <cell r="F22" t="str">
            <v>USD</v>
          </cell>
          <cell r="G22">
            <v>12</v>
          </cell>
          <cell r="H22">
            <v>285337</v>
          </cell>
          <cell r="I22">
            <v>1</v>
          </cell>
          <cell r="J22" t="str">
            <v>АК АПИБ "Агроинвестбанк"</v>
          </cell>
          <cell r="K22">
            <v>3424044</v>
          </cell>
          <cell r="L22">
            <v>284914.62615131575</v>
          </cell>
          <cell r="M22">
            <v>0.9985197368421052</v>
          </cell>
          <cell r="N22">
            <v>3418975.513815789</v>
          </cell>
        </row>
        <row r="23">
          <cell r="A23">
            <v>2003</v>
          </cell>
          <cell r="B23">
            <v>1</v>
          </cell>
          <cell r="C23">
            <v>2</v>
          </cell>
          <cell r="D23">
            <v>137</v>
          </cell>
          <cell r="E23">
            <v>1</v>
          </cell>
          <cell r="F23" t="str">
            <v>USD</v>
          </cell>
          <cell r="G23">
            <v>12</v>
          </cell>
          <cell r="H23">
            <v>177581</v>
          </cell>
          <cell r="I23">
            <v>1</v>
          </cell>
          <cell r="J23" t="str">
            <v>АК АПИБ "Агроинвестбанк"</v>
          </cell>
          <cell r="K23">
            <v>2130972</v>
          </cell>
          <cell r="L23">
            <v>177318.13338815788</v>
          </cell>
          <cell r="M23">
            <v>0.9985197368421052</v>
          </cell>
          <cell r="N23">
            <v>2127817.6006578943</v>
          </cell>
        </row>
        <row r="24">
          <cell r="A24">
            <v>2003</v>
          </cell>
          <cell r="B24">
            <v>1</v>
          </cell>
          <cell r="C24">
            <v>2</v>
          </cell>
          <cell r="D24">
            <v>165</v>
          </cell>
          <cell r="E24">
            <v>1</v>
          </cell>
          <cell r="F24" t="str">
            <v>USD</v>
          </cell>
          <cell r="G24">
            <v>12</v>
          </cell>
          <cell r="H24">
            <v>4272285</v>
          </cell>
          <cell r="I24">
            <v>5</v>
          </cell>
          <cell r="J24" t="str">
            <v>АК АПИБ "Агроинвестбанк"</v>
          </cell>
          <cell r="K24">
            <v>51267420</v>
          </cell>
          <cell r="L24">
            <v>4265960.893914473</v>
          </cell>
          <cell r="M24">
            <v>0.9985197368421052</v>
          </cell>
          <cell r="N24">
            <v>51191530.726973675</v>
          </cell>
        </row>
        <row r="25">
          <cell r="A25">
            <v>2003</v>
          </cell>
          <cell r="B25">
            <v>1</v>
          </cell>
          <cell r="C25">
            <v>2</v>
          </cell>
          <cell r="D25">
            <v>129</v>
          </cell>
          <cell r="E25">
            <v>1</v>
          </cell>
          <cell r="F25" t="str">
            <v>USD</v>
          </cell>
          <cell r="G25">
            <v>12</v>
          </cell>
          <cell r="H25">
            <v>15052</v>
          </cell>
          <cell r="I25">
            <v>1</v>
          </cell>
          <cell r="J25" t="str">
            <v>АК АПИБ "Агроинвестбанк"</v>
          </cell>
          <cell r="K25">
            <v>180624</v>
          </cell>
          <cell r="L25">
            <v>15029.719078947366</v>
          </cell>
          <cell r="M25">
            <v>0.9985197368421052</v>
          </cell>
          <cell r="N25">
            <v>180356.62894736842</v>
          </cell>
        </row>
        <row r="26">
          <cell r="A26">
            <v>2003</v>
          </cell>
          <cell r="B26">
            <v>1</v>
          </cell>
          <cell r="C26">
            <v>2</v>
          </cell>
          <cell r="D26">
            <v>123</v>
          </cell>
          <cell r="E26">
            <v>1</v>
          </cell>
          <cell r="F26" t="str">
            <v>USD</v>
          </cell>
          <cell r="G26">
            <v>12</v>
          </cell>
          <cell r="H26">
            <v>63746</v>
          </cell>
          <cell r="I26">
            <v>1</v>
          </cell>
          <cell r="J26" t="str">
            <v>АК АПИБ "Агроинвестбанк"</v>
          </cell>
          <cell r="K26">
            <v>764952</v>
          </cell>
          <cell r="L26">
            <v>63651.63914473684</v>
          </cell>
          <cell r="M26">
            <v>0.9985197368421052</v>
          </cell>
          <cell r="N26">
            <v>763819.669736842</v>
          </cell>
        </row>
        <row r="27">
          <cell r="A27">
            <v>2003</v>
          </cell>
          <cell r="B27">
            <v>1</v>
          </cell>
          <cell r="C27">
            <v>2</v>
          </cell>
          <cell r="D27">
            <v>137</v>
          </cell>
          <cell r="E27">
            <v>1</v>
          </cell>
          <cell r="F27" t="str">
            <v>USD</v>
          </cell>
          <cell r="G27">
            <v>12</v>
          </cell>
          <cell r="H27">
            <v>972413</v>
          </cell>
          <cell r="I27">
            <v>1</v>
          </cell>
          <cell r="J27" t="str">
            <v>АК АПИБ "Агроинвестбанк"</v>
          </cell>
          <cell r="K27">
            <v>11668956</v>
          </cell>
          <cell r="L27">
            <v>970973.572861842</v>
          </cell>
          <cell r="M27">
            <v>0.9985197368421052</v>
          </cell>
          <cell r="N27">
            <v>11651682.874342104</v>
          </cell>
        </row>
        <row r="28">
          <cell r="A28">
            <v>2003</v>
          </cell>
          <cell r="B28">
            <v>1</v>
          </cell>
          <cell r="C28">
            <v>2</v>
          </cell>
          <cell r="D28">
            <v>120</v>
          </cell>
          <cell r="E28">
            <v>1</v>
          </cell>
          <cell r="F28" t="str">
            <v>USD</v>
          </cell>
          <cell r="G28">
            <v>12</v>
          </cell>
          <cell r="H28">
            <v>28659</v>
          </cell>
          <cell r="I28">
            <v>2</v>
          </cell>
          <cell r="J28" t="str">
            <v>АК АПИБ "Агроинвестбанк"</v>
          </cell>
          <cell r="K28">
            <v>343908</v>
          </cell>
          <cell r="L28">
            <v>28616.577138157892</v>
          </cell>
          <cell r="M28">
            <v>0.9985197368421052</v>
          </cell>
          <cell r="N28">
            <v>343398.9256578947</v>
          </cell>
        </row>
        <row r="29">
          <cell r="A29">
            <v>2003</v>
          </cell>
          <cell r="B29">
            <v>1</v>
          </cell>
          <cell r="C29">
            <v>2</v>
          </cell>
          <cell r="D29">
            <v>135</v>
          </cell>
          <cell r="E29">
            <v>1</v>
          </cell>
          <cell r="F29" t="str">
            <v>USD</v>
          </cell>
          <cell r="G29">
            <v>12</v>
          </cell>
          <cell r="H29">
            <v>3583657</v>
          </cell>
          <cell r="I29">
            <v>4</v>
          </cell>
          <cell r="J29" t="str">
            <v>АК АПИБ "Агроинвестбанк"</v>
          </cell>
          <cell r="K29">
            <v>43003884</v>
          </cell>
          <cell r="L29">
            <v>3578352.244572368</v>
          </cell>
          <cell r="M29">
            <v>0.9985197368421052</v>
          </cell>
          <cell r="N29">
            <v>42940226.93486842</v>
          </cell>
        </row>
        <row r="30">
          <cell r="A30">
            <v>2003</v>
          </cell>
          <cell r="B30">
            <v>1</v>
          </cell>
          <cell r="C30">
            <v>1</v>
          </cell>
          <cell r="D30">
            <v>191</v>
          </cell>
          <cell r="E30">
            <v>2</v>
          </cell>
          <cell r="F30" t="str">
            <v>USD</v>
          </cell>
          <cell r="G30">
            <v>30</v>
          </cell>
          <cell r="H30">
            <v>1518</v>
          </cell>
          <cell r="I30">
            <v>1</v>
          </cell>
          <cell r="J30" t="str">
            <v>АК АПИБ "Агроинвестбанк"</v>
          </cell>
          <cell r="K30">
            <v>45540</v>
          </cell>
          <cell r="L30">
            <v>1515.7529605263155</v>
          </cell>
          <cell r="M30">
            <v>0.9985197368421052</v>
          </cell>
          <cell r="N30">
            <v>45472.588815789466</v>
          </cell>
        </row>
        <row r="31">
          <cell r="A31">
            <v>2003</v>
          </cell>
          <cell r="B31">
            <v>1</v>
          </cell>
          <cell r="C31">
            <v>1</v>
          </cell>
          <cell r="D31">
            <v>334</v>
          </cell>
          <cell r="E31">
            <v>2</v>
          </cell>
          <cell r="F31" t="str">
            <v>USD</v>
          </cell>
          <cell r="G31">
            <v>28</v>
          </cell>
          <cell r="H31">
            <v>1518</v>
          </cell>
          <cell r="I31">
            <v>1</v>
          </cell>
          <cell r="J31" t="str">
            <v>АК АПИБ "Агроинвестбанк"</v>
          </cell>
          <cell r="K31">
            <v>42504</v>
          </cell>
          <cell r="L31">
            <v>1515.7529605263155</v>
          </cell>
          <cell r="M31">
            <v>0.9985197368421052</v>
          </cell>
          <cell r="N31">
            <v>42441.082894736835</v>
          </cell>
        </row>
        <row r="32">
          <cell r="A32">
            <v>2003</v>
          </cell>
          <cell r="B32">
            <v>1</v>
          </cell>
          <cell r="C32">
            <v>1</v>
          </cell>
          <cell r="D32">
            <v>204</v>
          </cell>
          <cell r="E32">
            <v>2</v>
          </cell>
          <cell r="F32" t="str">
            <v>USD</v>
          </cell>
          <cell r="G32">
            <v>28</v>
          </cell>
          <cell r="H32">
            <v>1518</v>
          </cell>
          <cell r="I32">
            <v>1</v>
          </cell>
          <cell r="J32" t="str">
            <v>АК АПИБ "Агроинвестбанк"</v>
          </cell>
          <cell r="K32">
            <v>42504</v>
          </cell>
          <cell r="L32">
            <v>1515.7529605263155</v>
          </cell>
          <cell r="M32">
            <v>0.9985197368421052</v>
          </cell>
          <cell r="N32">
            <v>42441.082894736835</v>
          </cell>
        </row>
        <row r="33">
          <cell r="A33">
            <v>2003</v>
          </cell>
          <cell r="B33">
            <v>1</v>
          </cell>
          <cell r="C33">
            <v>1</v>
          </cell>
          <cell r="D33">
            <v>273</v>
          </cell>
          <cell r="E33">
            <v>2</v>
          </cell>
          <cell r="F33" t="str">
            <v>USD</v>
          </cell>
          <cell r="G33">
            <v>30</v>
          </cell>
          <cell r="H33">
            <v>1518</v>
          </cell>
          <cell r="I33">
            <v>1</v>
          </cell>
          <cell r="J33" t="str">
            <v>АК АПИБ "Агроинвестбанк"</v>
          </cell>
          <cell r="K33">
            <v>45540</v>
          </cell>
          <cell r="L33">
            <v>1515.7529605263155</v>
          </cell>
          <cell r="M33">
            <v>0.9985197368421052</v>
          </cell>
          <cell r="N33">
            <v>45472.588815789466</v>
          </cell>
        </row>
        <row r="34">
          <cell r="A34">
            <v>2003</v>
          </cell>
          <cell r="B34">
            <v>1</v>
          </cell>
          <cell r="C34">
            <v>1</v>
          </cell>
          <cell r="D34">
            <v>184</v>
          </cell>
          <cell r="E34">
            <v>2</v>
          </cell>
          <cell r="F34" t="str">
            <v>USD</v>
          </cell>
          <cell r="G34">
            <v>30</v>
          </cell>
          <cell r="H34">
            <v>910</v>
          </cell>
          <cell r="I34">
            <v>1</v>
          </cell>
          <cell r="J34" t="str">
            <v>АК АПИБ "Агроинвестбанк"</v>
          </cell>
          <cell r="K34">
            <v>27300</v>
          </cell>
          <cell r="L34">
            <v>908.6529605263157</v>
          </cell>
          <cell r="M34">
            <v>0.9985197368421052</v>
          </cell>
          <cell r="N34">
            <v>27259.58881578947</v>
          </cell>
        </row>
        <row r="35">
          <cell r="A35">
            <v>2003</v>
          </cell>
          <cell r="B35">
            <v>1</v>
          </cell>
          <cell r="C35">
            <v>1</v>
          </cell>
          <cell r="D35">
            <v>179</v>
          </cell>
          <cell r="E35">
            <v>2</v>
          </cell>
          <cell r="F35" t="str">
            <v>USD</v>
          </cell>
          <cell r="G35">
            <v>30</v>
          </cell>
          <cell r="H35">
            <v>607</v>
          </cell>
          <cell r="I35">
            <v>1</v>
          </cell>
          <cell r="J35" t="str">
            <v>АК АПИБ "Агроинвестбанк"</v>
          </cell>
          <cell r="K35">
            <v>18210</v>
          </cell>
          <cell r="L35">
            <v>606.1014802631578</v>
          </cell>
          <cell r="M35">
            <v>0.9985197368421052</v>
          </cell>
          <cell r="N35">
            <v>18183.044407894737</v>
          </cell>
        </row>
        <row r="36">
          <cell r="A36">
            <v>2003</v>
          </cell>
          <cell r="B36">
            <v>1</v>
          </cell>
          <cell r="C36">
            <v>1</v>
          </cell>
          <cell r="D36">
            <v>180</v>
          </cell>
          <cell r="E36">
            <v>2</v>
          </cell>
          <cell r="F36" t="str">
            <v>USD</v>
          </cell>
          <cell r="G36">
            <v>30</v>
          </cell>
          <cell r="H36">
            <v>1518</v>
          </cell>
          <cell r="I36">
            <v>1</v>
          </cell>
          <cell r="J36" t="str">
            <v>АК АПИБ "Агроинвестбанк"</v>
          </cell>
          <cell r="K36">
            <v>45540</v>
          </cell>
          <cell r="L36">
            <v>1515.7529605263155</v>
          </cell>
          <cell r="M36">
            <v>0.9985197368421052</v>
          </cell>
          <cell r="N36">
            <v>45472.588815789466</v>
          </cell>
        </row>
        <row r="37">
          <cell r="A37">
            <v>2003</v>
          </cell>
          <cell r="B37">
            <v>1</v>
          </cell>
          <cell r="C37">
            <v>1</v>
          </cell>
          <cell r="D37">
            <v>181</v>
          </cell>
          <cell r="E37">
            <v>2</v>
          </cell>
          <cell r="F37" t="str">
            <v>USD</v>
          </cell>
          <cell r="G37">
            <v>30</v>
          </cell>
          <cell r="H37">
            <v>1518</v>
          </cell>
          <cell r="I37">
            <v>1</v>
          </cell>
          <cell r="J37" t="str">
            <v>АК АПИБ "Агроинвестбанк"</v>
          </cell>
          <cell r="K37">
            <v>45540</v>
          </cell>
          <cell r="L37">
            <v>1515.7529605263155</v>
          </cell>
          <cell r="M37">
            <v>0.9985197368421052</v>
          </cell>
          <cell r="N37">
            <v>45472.588815789466</v>
          </cell>
        </row>
        <row r="38">
          <cell r="A38">
            <v>2003</v>
          </cell>
          <cell r="B38">
            <v>1</v>
          </cell>
          <cell r="C38">
            <v>1</v>
          </cell>
          <cell r="D38">
            <v>196</v>
          </cell>
          <cell r="E38">
            <v>2</v>
          </cell>
          <cell r="F38" t="str">
            <v>USD</v>
          </cell>
          <cell r="G38">
            <v>30</v>
          </cell>
          <cell r="H38">
            <v>1518</v>
          </cell>
          <cell r="I38">
            <v>1</v>
          </cell>
          <cell r="J38" t="str">
            <v>АК АПИБ "Агроинвестбанк"</v>
          </cell>
          <cell r="K38">
            <v>45540</v>
          </cell>
          <cell r="L38">
            <v>1515.7529605263155</v>
          </cell>
          <cell r="M38">
            <v>0.9985197368421052</v>
          </cell>
          <cell r="N38">
            <v>45472.588815789466</v>
          </cell>
        </row>
        <row r="39">
          <cell r="A39">
            <v>2003</v>
          </cell>
          <cell r="B39">
            <v>1</v>
          </cell>
          <cell r="C39">
            <v>1</v>
          </cell>
          <cell r="D39">
            <v>90</v>
          </cell>
          <cell r="E39">
            <v>2</v>
          </cell>
          <cell r="F39" t="str">
            <v>TJS</v>
          </cell>
          <cell r="G39">
            <v>40</v>
          </cell>
          <cell r="H39">
            <v>10000</v>
          </cell>
          <cell r="I39">
            <v>1</v>
          </cell>
          <cell r="J39" t="str">
            <v>АКБ "Эсхата"</v>
          </cell>
          <cell r="K39">
            <v>400000</v>
          </cell>
          <cell r="L39">
            <v>10000</v>
          </cell>
          <cell r="M39">
            <v>1</v>
          </cell>
          <cell r="N39">
            <v>400000</v>
          </cell>
        </row>
        <row r="40">
          <cell r="A40">
            <v>2003</v>
          </cell>
          <cell r="B40">
            <v>1</v>
          </cell>
          <cell r="C40">
            <v>3</v>
          </cell>
          <cell r="D40">
            <v>120</v>
          </cell>
          <cell r="E40">
            <v>1</v>
          </cell>
          <cell r="F40" t="str">
            <v>TJS</v>
          </cell>
          <cell r="G40">
            <v>50</v>
          </cell>
          <cell r="H40">
            <v>18000</v>
          </cell>
          <cell r="I40">
            <v>1</v>
          </cell>
          <cell r="J40" t="str">
            <v>АКБ "Эсхата"</v>
          </cell>
          <cell r="K40">
            <v>900000</v>
          </cell>
          <cell r="L40">
            <v>18000</v>
          </cell>
          <cell r="M40">
            <v>1</v>
          </cell>
          <cell r="N40">
            <v>900000</v>
          </cell>
        </row>
        <row r="41">
          <cell r="A41">
            <v>2003</v>
          </cell>
          <cell r="B41">
            <v>1</v>
          </cell>
          <cell r="C41">
            <v>1</v>
          </cell>
          <cell r="D41">
            <v>90</v>
          </cell>
          <cell r="E41">
            <v>2</v>
          </cell>
          <cell r="F41" t="str">
            <v>USD</v>
          </cell>
          <cell r="G41">
            <v>30</v>
          </cell>
          <cell r="H41">
            <v>15178</v>
          </cell>
          <cell r="I41">
            <v>1</v>
          </cell>
          <cell r="J41" t="str">
            <v>АКБ "Эсхата"</v>
          </cell>
          <cell r="K41">
            <v>455340</v>
          </cell>
          <cell r="L41">
            <v>15155.532565789472</v>
          </cell>
          <cell r="M41">
            <v>0.9985197368421052</v>
          </cell>
          <cell r="N41">
            <v>454665.97697368416</v>
          </cell>
        </row>
        <row r="42">
          <cell r="A42">
            <v>2003</v>
          </cell>
          <cell r="B42">
            <v>1</v>
          </cell>
          <cell r="C42">
            <v>1</v>
          </cell>
          <cell r="D42">
            <v>180</v>
          </cell>
          <cell r="E42">
            <v>2</v>
          </cell>
          <cell r="F42" t="str">
            <v>TJS</v>
          </cell>
          <cell r="G42">
            <v>6</v>
          </cell>
          <cell r="H42">
            <v>9800</v>
          </cell>
          <cell r="I42">
            <v>1</v>
          </cell>
          <cell r="J42" t="str">
            <v>КБ "Сомон-банк"</v>
          </cell>
          <cell r="K42">
            <v>58800</v>
          </cell>
          <cell r="L42">
            <v>9800</v>
          </cell>
          <cell r="M42">
            <v>1</v>
          </cell>
          <cell r="N42">
            <v>58800</v>
          </cell>
        </row>
        <row r="43">
          <cell r="A43">
            <v>2003</v>
          </cell>
          <cell r="B43">
            <v>1</v>
          </cell>
          <cell r="C43">
            <v>1</v>
          </cell>
          <cell r="D43">
            <v>180</v>
          </cell>
          <cell r="E43">
            <v>2</v>
          </cell>
          <cell r="F43" t="str">
            <v>TJS</v>
          </cell>
          <cell r="G43">
            <v>12</v>
          </cell>
          <cell r="H43">
            <v>4000</v>
          </cell>
          <cell r="I43">
            <v>1</v>
          </cell>
          <cell r="J43" t="str">
            <v>КБ "Сомон-банк"</v>
          </cell>
          <cell r="K43">
            <v>48000</v>
          </cell>
          <cell r="L43">
            <v>4000</v>
          </cell>
          <cell r="M43">
            <v>1</v>
          </cell>
          <cell r="N43">
            <v>48000</v>
          </cell>
        </row>
        <row r="44">
          <cell r="A44">
            <v>2003</v>
          </cell>
          <cell r="B44">
            <v>1</v>
          </cell>
          <cell r="C44">
            <v>1</v>
          </cell>
          <cell r="D44">
            <v>180</v>
          </cell>
          <cell r="E44">
            <v>2</v>
          </cell>
          <cell r="F44" t="str">
            <v>TJS</v>
          </cell>
          <cell r="G44">
            <v>36</v>
          </cell>
          <cell r="H44">
            <v>33600</v>
          </cell>
          <cell r="I44">
            <v>1</v>
          </cell>
          <cell r="J44" t="str">
            <v>КБ "Сомон-банк"</v>
          </cell>
          <cell r="K44">
            <v>1209600</v>
          </cell>
          <cell r="L44">
            <v>33600</v>
          </cell>
          <cell r="M44">
            <v>1</v>
          </cell>
          <cell r="N44">
            <v>1209600</v>
          </cell>
        </row>
        <row r="45">
          <cell r="A45">
            <v>2003</v>
          </cell>
          <cell r="B45">
            <v>1</v>
          </cell>
          <cell r="C45">
            <v>1</v>
          </cell>
          <cell r="D45">
            <v>360</v>
          </cell>
          <cell r="E45">
            <v>2</v>
          </cell>
          <cell r="F45" t="str">
            <v>TJS</v>
          </cell>
          <cell r="G45">
            <v>12</v>
          </cell>
          <cell r="H45">
            <v>6000</v>
          </cell>
          <cell r="I45">
            <v>1</v>
          </cell>
          <cell r="J45" t="str">
            <v>КБ "Сомон-банк"</v>
          </cell>
          <cell r="K45">
            <v>72000</v>
          </cell>
          <cell r="L45">
            <v>6000</v>
          </cell>
          <cell r="M45">
            <v>1</v>
          </cell>
          <cell r="N45">
            <v>72000</v>
          </cell>
        </row>
        <row r="46">
          <cell r="A46">
            <v>2003</v>
          </cell>
          <cell r="B46">
            <v>1</v>
          </cell>
          <cell r="C46">
            <v>1</v>
          </cell>
          <cell r="D46">
            <v>360</v>
          </cell>
          <cell r="E46">
            <v>2</v>
          </cell>
          <cell r="F46" t="str">
            <v>TJS</v>
          </cell>
          <cell r="G46">
            <v>6</v>
          </cell>
          <cell r="H46">
            <v>5000</v>
          </cell>
          <cell r="I46">
            <v>1</v>
          </cell>
          <cell r="J46" t="str">
            <v>КБ "Сомон-банк"</v>
          </cell>
          <cell r="K46">
            <v>30000</v>
          </cell>
          <cell r="L46">
            <v>5000</v>
          </cell>
          <cell r="M46">
            <v>1</v>
          </cell>
          <cell r="N46">
            <v>30000</v>
          </cell>
        </row>
        <row r="47">
          <cell r="A47">
            <v>2003</v>
          </cell>
          <cell r="B47">
            <v>1</v>
          </cell>
          <cell r="C47">
            <v>1</v>
          </cell>
          <cell r="D47">
            <v>120</v>
          </cell>
          <cell r="E47">
            <v>2</v>
          </cell>
          <cell r="F47" t="str">
            <v>TJS</v>
          </cell>
          <cell r="G47">
            <v>36</v>
          </cell>
          <cell r="H47">
            <v>2000</v>
          </cell>
          <cell r="I47">
            <v>1</v>
          </cell>
          <cell r="J47" t="str">
            <v>КБ "Сомон-банк"</v>
          </cell>
          <cell r="K47">
            <v>72000</v>
          </cell>
          <cell r="L47">
            <v>2000</v>
          </cell>
          <cell r="M47">
            <v>1</v>
          </cell>
          <cell r="N47">
            <v>72000</v>
          </cell>
        </row>
        <row r="48">
          <cell r="A48">
            <v>2003</v>
          </cell>
          <cell r="B48">
            <v>1</v>
          </cell>
          <cell r="C48">
            <v>1</v>
          </cell>
          <cell r="D48">
            <v>360</v>
          </cell>
          <cell r="E48">
            <v>2</v>
          </cell>
          <cell r="F48" t="str">
            <v>USD</v>
          </cell>
          <cell r="G48">
            <v>36</v>
          </cell>
          <cell r="H48">
            <v>15177</v>
          </cell>
          <cell r="I48">
            <v>1</v>
          </cell>
          <cell r="J48" t="str">
            <v>КБ "Сомон-банк"</v>
          </cell>
          <cell r="K48">
            <v>546372</v>
          </cell>
          <cell r="L48">
            <v>15154.53404605263</v>
          </cell>
          <cell r="M48">
            <v>0.9985197368421052</v>
          </cell>
          <cell r="N48">
            <v>545563.2256578946</v>
          </cell>
        </row>
        <row r="49">
          <cell r="A49">
            <v>2003</v>
          </cell>
          <cell r="B49">
            <v>1</v>
          </cell>
          <cell r="C49">
            <v>3</v>
          </cell>
          <cell r="D49">
            <v>180</v>
          </cell>
          <cell r="E49">
            <v>1</v>
          </cell>
          <cell r="F49" t="str">
            <v>TJS</v>
          </cell>
          <cell r="G49">
            <v>30</v>
          </cell>
          <cell r="H49">
            <v>217261</v>
          </cell>
          <cell r="I49">
            <v>1</v>
          </cell>
          <cell r="J49" t="str">
            <v>ГАКБ "Точиксодиротбонк"</v>
          </cell>
          <cell r="K49">
            <v>6517830</v>
          </cell>
          <cell r="L49">
            <v>217261</v>
          </cell>
          <cell r="M49">
            <v>1</v>
          </cell>
          <cell r="N49">
            <v>6517830</v>
          </cell>
        </row>
        <row r="50">
          <cell r="A50">
            <v>2003</v>
          </cell>
          <cell r="B50">
            <v>1</v>
          </cell>
          <cell r="C50">
            <v>1</v>
          </cell>
          <cell r="D50">
            <v>10</v>
          </cell>
          <cell r="E50">
            <v>1</v>
          </cell>
          <cell r="F50" t="str">
            <v>TJS</v>
          </cell>
          <cell r="G50">
            <v>30</v>
          </cell>
          <cell r="H50">
            <v>117400</v>
          </cell>
          <cell r="I50">
            <v>1</v>
          </cell>
          <cell r="J50" t="str">
            <v>ГАКБ "Точиксодиротбонк"</v>
          </cell>
          <cell r="K50">
            <v>3522000</v>
          </cell>
          <cell r="L50">
            <v>117400</v>
          </cell>
          <cell r="M50">
            <v>1</v>
          </cell>
          <cell r="N50">
            <v>3522000</v>
          </cell>
        </row>
        <row r="51">
          <cell r="A51">
            <v>2003</v>
          </cell>
          <cell r="B51">
            <v>1</v>
          </cell>
          <cell r="C51">
            <v>1</v>
          </cell>
          <cell r="D51">
            <v>720</v>
          </cell>
          <cell r="E51">
            <v>1</v>
          </cell>
          <cell r="F51" t="str">
            <v>TJS</v>
          </cell>
          <cell r="G51">
            <v>18</v>
          </cell>
          <cell r="H51">
            <v>126000</v>
          </cell>
          <cell r="I51">
            <v>1</v>
          </cell>
          <cell r="J51" t="str">
            <v>ГАКБ "Точиксодиротбонк"</v>
          </cell>
          <cell r="K51">
            <v>2268000</v>
          </cell>
          <cell r="L51">
            <v>126000</v>
          </cell>
          <cell r="M51">
            <v>1</v>
          </cell>
          <cell r="N51">
            <v>2268000</v>
          </cell>
        </row>
        <row r="52">
          <cell r="A52">
            <v>2003</v>
          </cell>
          <cell r="B52">
            <v>1</v>
          </cell>
          <cell r="C52">
            <v>1</v>
          </cell>
          <cell r="D52">
            <v>360</v>
          </cell>
          <cell r="E52">
            <v>1</v>
          </cell>
          <cell r="F52" t="str">
            <v>TJS</v>
          </cell>
          <cell r="G52">
            <v>20</v>
          </cell>
          <cell r="H52">
            <v>200000</v>
          </cell>
          <cell r="I52">
            <v>1</v>
          </cell>
          <cell r="J52" t="str">
            <v>ГАКБ "Точиксодиротбонк"</v>
          </cell>
          <cell r="K52">
            <v>4000000</v>
          </cell>
          <cell r="L52">
            <v>200000</v>
          </cell>
          <cell r="M52">
            <v>1</v>
          </cell>
          <cell r="N52">
            <v>4000000</v>
          </cell>
        </row>
        <row r="53">
          <cell r="A53">
            <v>2003</v>
          </cell>
          <cell r="B53">
            <v>1</v>
          </cell>
          <cell r="C53">
            <v>2</v>
          </cell>
          <cell r="D53">
            <v>360</v>
          </cell>
          <cell r="E53">
            <v>1</v>
          </cell>
          <cell r="F53" t="str">
            <v>TJS</v>
          </cell>
          <cell r="G53">
            <v>18</v>
          </cell>
          <cell r="H53">
            <v>240000</v>
          </cell>
          <cell r="I53">
            <v>6</v>
          </cell>
          <cell r="J53" t="str">
            <v>ГАКБ "Точиксодиротбонк"</v>
          </cell>
          <cell r="K53">
            <v>4320000</v>
          </cell>
          <cell r="L53">
            <v>240000</v>
          </cell>
          <cell r="M53">
            <v>1</v>
          </cell>
          <cell r="N53">
            <v>4320000</v>
          </cell>
        </row>
        <row r="54">
          <cell r="A54">
            <v>2003</v>
          </cell>
          <cell r="B54">
            <v>1</v>
          </cell>
          <cell r="C54">
            <v>1</v>
          </cell>
          <cell r="D54">
            <v>120</v>
          </cell>
          <cell r="E54">
            <v>1</v>
          </cell>
          <cell r="F54" t="str">
            <v>TJS</v>
          </cell>
          <cell r="G54">
            <v>26</v>
          </cell>
          <cell r="H54">
            <v>28246</v>
          </cell>
          <cell r="I54">
            <v>1</v>
          </cell>
          <cell r="J54" t="str">
            <v>ГАКБ "Точиксодиротбонк"</v>
          </cell>
          <cell r="K54">
            <v>734396</v>
          </cell>
          <cell r="L54">
            <v>28246</v>
          </cell>
          <cell r="M54">
            <v>1</v>
          </cell>
          <cell r="N54">
            <v>734396</v>
          </cell>
        </row>
        <row r="55">
          <cell r="A55">
            <v>2003</v>
          </cell>
          <cell r="B55">
            <v>1</v>
          </cell>
          <cell r="C55">
            <v>1</v>
          </cell>
          <cell r="D55">
            <v>120</v>
          </cell>
          <cell r="E55">
            <v>2</v>
          </cell>
          <cell r="F55" t="str">
            <v>TJS</v>
          </cell>
          <cell r="G55">
            <v>48</v>
          </cell>
          <cell r="H55">
            <v>800</v>
          </cell>
          <cell r="I55">
            <v>1</v>
          </cell>
          <cell r="J55" t="str">
            <v>ГАКБ "Точиксодиротбонк"</v>
          </cell>
          <cell r="K55">
            <v>38400</v>
          </cell>
          <cell r="L55">
            <v>800</v>
          </cell>
          <cell r="M55">
            <v>1</v>
          </cell>
          <cell r="N55">
            <v>38400</v>
          </cell>
        </row>
        <row r="56">
          <cell r="A56">
            <v>2003</v>
          </cell>
          <cell r="B56">
            <v>1</v>
          </cell>
          <cell r="C56">
            <v>1</v>
          </cell>
          <cell r="D56">
            <v>180</v>
          </cell>
          <cell r="E56">
            <v>2</v>
          </cell>
          <cell r="F56" t="str">
            <v>TJS</v>
          </cell>
          <cell r="G56">
            <v>48</v>
          </cell>
          <cell r="H56">
            <v>7500</v>
          </cell>
          <cell r="I56">
            <v>2</v>
          </cell>
          <cell r="J56" t="str">
            <v>ГАКБ "Точиксодиротбонк"</v>
          </cell>
          <cell r="K56">
            <v>360000</v>
          </cell>
          <cell r="L56">
            <v>7500</v>
          </cell>
          <cell r="M56">
            <v>1</v>
          </cell>
          <cell r="N56">
            <v>360000</v>
          </cell>
        </row>
        <row r="57">
          <cell r="A57">
            <v>2003</v>
          </cell>
          <cell r="B57">
            <v>1</v>
          </cell>
          <cell r="C57">
            <v>1</v>
          </cell>
          <cell r="D57">
            <v>180</v>
          </cell>
          <cell r="E57">
            <v>1</v>
          </cell>
          <cell r="F57" t="str">
            <v>TJS</v>
          </cell>
          <cell r="G57">
            <v>36</v>
          </cell>
          <cell r="H57">
            <v>7000</v>
          </cell>
          <cell r="I57">
            <v>1</v>
          </cell>
          <cell r="J57" t="str">
            <v>ГАКБ "Точиксодиротбонк"</v>
          </cell>
          <cell r="K57">
            <v>252000</v>
          </cell>
          <cell r="L57">
            <v>7000</v>
          </cell>
          <cell r="M57">
            <v>1</v>
          </cell>
          <cell r="N57">
            <v>252000</v>
          </cell>
        </row>
        <row r="58">
          <cell r="A58">
            <v>2003</v>
          </cell>
          <cell r="B58">
            <v>1</v>
          </cell>
          <cell r="C58">
            <v>1</v>
          </cell>
          <cell r="D58">
            <v>360</v>
          </cell>
          <cell r="E58">
            <v>1</v>
          </cell>
          <cell r="F58" t="str">
            <v>TJS</v>
          </cell>
          <cell r="G58">
            <v>30</v>
          </cell>
          <cell r="H58">
            <v>25000</v>
          </cell>
          <cell r="I58">
            <v>1</v>
          </cell>
          <cell r="J58" t="str">
            <v>ГАКБ "Точиксодиротбонк"</v>
          </cell>
          <cell r="K58">
            <v>750000</v>
          </cell>
          <cell r="L58">
            <v>25000</v>
          </cell>
          <cell r="M58">
            <v>1</v>
          </cell>
          <cell r="N58">
            <v>750000</v>
          </cell>
        </row>
        <row r="59">
          <cell r="A59">
            <v>2003</v>
          </cell>
          <cell r="B59">
            <v>1</v>
          </cell>
          <cell r="C59">
            <v>1</v>
          </cell>
          <cell r="D59">
            <v>180</v>
          </cell>
          <cell r="E59">
            <v>2</v>
          </cell>
          <cell r="F59" t="str">
            <v>TJS</v>
          </cell>
          <cell r="G59">
            <v>36</v>
          </cell>
          <cell r="H59">
            <v>6500</v>
          </cell>
          <cell r="I59">
            <v>1</v>
          </cell>
          <cell r="J59" t="str">
            <v>ГАКБ "Точиксодиротбонк"</v>
          </cell>
          <cell r="K59">
            <v>234000</v>
          </cell>
          <cell r="L59">
            <v>6500</v>
          </cell>
          <cell r="M59">
            <v>1</v>
          </cell>
          <cell r="N59">
            <v>234000</v>
          </cell>
        </row>
        <row r="60">
          <cell r="A60">
            <v>2003</v>
          </cell>
          <cell r="B60">
            <v>1</v>
          </cell>
          <cell r="C60">
            <v>1</v>
          </cell>
          <cell r="D60">
            <v>180</v>
          </cell>
          <cell r="E60">
            <v>2</v>
          </cell>
          <cell r="F60" t="str">
            <v>TJS</v>
          </cell>
          <cell r="G60">
            <v>60</v>
          </cell>
          <cell r="H60">
            <v>5450</v>
          </cell>
          <cell r="I60">
            <v>2</v>
          </cell>
          <cell r="J60" t="str">
            <v>ГАКБ "Точиксодиротбонк"</v>
          </cell>
          <cell r="K60">
            <v>327000</v>
          </cell>
          <cell r="L60">
            <v>5450</v>
          </cell>
          <cell r="M60">
            <v>1</v>
          </cell>
          <cell r="N60">
            <v>327000</v>
          </cell>
        </row>
        <row r="61">
          <cell r="A61">
            <v>2003</v>
          </cell>
          <cell r="B61">
            <v>1</v>
          </cell>
          <cell r="C61">
            <v>1</v>
          </cell>
          <cell r="D61">
            <v>180</v>
          </cell>
          <cell r="E61">
            <v>2</v>
          </cell>
          <cell r="F61" t="str">
            <v>TJS</v>
          </cell>
          <cell r="G61">
            <v>24</v>
          </cell>
          <cell r="H61">
            <v>17000</v>
          </cell>
          <cell r="I61">
            <v>2</v>
          </cell>
          <cell r="J61" t="str">
            <v>ГАКБ "Точиксодиротбонк"</v>
          </cell>
          <cell r="K61">
            <v>408000</v>
          </cell>
          <cell r="L61">
            <v>17000</v>
          </cell>
          <cell r="M61">
            <v>1</v>
          </cell>
          <cell r="N61">
            <v>408000</v>
          </cell>
        </row>
        <row r="62">
          <cell r="A62">
            <v>2003</v>
          </cell>
          <cell r="B62">
            <v>1</v>
          </cell>
          <cell r="C62">
            <v>3</v>
          </cell>
          <cell r="D62">
            <v>270</v>
          </cell>
          <cell r="E62">
            <v>1</v>
          </cell>
          <cell r="F62" t="str">
            <v>USD</v>
          </cell>
          <cell r="G62">
            <v>25</v>
          </cell>
          <cell r="H62">
            <v>272466</v>
          </cell>
          <cell r="I62">
            <v>2</v>
          </cell>
          <cell r="J62" t="str">
            <v>ГАКБ "Точиксодиротбонк"</v>
          </cell>
          <cell r="K62">
            <v>6811650</v>
          </cell>
          <cell r="L62">
            <v>272062.678618421</v>
          </cell>
          <cell r="M62">
            <v>0.9985197368421052</v>
          </cell>
          <cell r="N62">
            <v>6801566.965460526</v>
          </cell>
        </row>
        <row r="63">
          <cell r="A63">
            <v>2003</v>
          </cell>
          <cell r="B63">
            <v>1</v>
          </cell>
          <cell r="C63">
            <v>3</v>
          </cell>
          <cell r="D63">
            <v>180</v>
          </cell>
          <cell r="E63">
            <v>1</v>
          </cell>
          <cell r="F63" t="str">
            <v>USD</v>
          </cell>
          <cell r="G63">
            <v>25</v>
          </cell>
          <cell r="H63">
            <v>761115</v>
          </cell>
          <cell r="I63">
            <v>2</v>
          </cell>
          <cell r="J63" t="str">
            <v>ГАКБ "Точиксодиротбонк"</v>
          </cell>
          <cell r="K63">
            <v>19027875</v>
          </cell>
          <cell r="L63">
            <v>759988.3495065789</v>
          </cell>
          <cell r="M63">
            <v>0.9985197368421052</v>
          </cell>
          <cell r="N63">
            <v>18999708.737664472</v>
          </cell>
        </row>
        <row r="64">
          <cell r="A64">
            <v>2003</v>
          </cell>
          <cell r="B64">
            <v>1</v>
          </cell>
          <cell r="C64">
            <v>3</v>
          </cell>
          <cell r="D64">
            <v>360</v>
          </cell>
          <cell r="E64">
            <v>1</v>
          </cell>
          <cell r="F64" t="str">
            <v>USD</v>
          </cell>
          <cell r="G64">
            <v>25</v>
          </cell>
          <cell r="H64">
            <v>1779392</v>
          </cell>
          <cell r="I64">
            <v>2</v>
          </cell>
          <cell r="J64" t="str">
            <v>ГАКБ "Точиксодиротбонк"</v>
          </cell>
          <cell r="K64">
            <v>44484800</v>
          </cell>
          <cell r="L64">
            <v>1776758.031578947</v>
          </cell>
          <cell r="M64">
            <v>0.9985197368421052</v>
          </cell>
          <cell r="N64">
            <v>44418950.78947368</v>
          </cell>
        </row>
        <row r="65">
          <cell r="A65">
            <v>2003</v>
          </cell>
          <cell r="B65">
            <v>1</v>
          </cell>
          <cell r="C65">
            <v>3</v>
          </cell>
          <cell r="D65">
            <v>180</v>
          </cell>
          <cell r="E65">
            <v>1</v>
          </cell>
          <cell r="F65" t="str">
            <v>USD</v>
          </cell>
          <cell r="G65">
            <v>22</v>
          </cell>
          <cell r="H65">
            <v>446561</v>
          </cell>
          <cell r="I65">
            <v>2</v>
          </cell>
          <cell r="J65" t="str">
            <v>ГАКБ "Точиксодиротбонк"</v>
          </cell>
          <cell r="K65">
            <v>9824342</v>
          </cell>
          <cell r="L65">
            <v>445899.9722039473</v>
          </cell>
          <cell r="M65">
            <v>0.9985197368421052</v>
          </cell>
          <cell r="N65">
            <v>9809799.388486842</v>
          </cell>
        </row>
        <row r="66">
          <cell r="A66">
            <v>2003</v>
          </cell>
          <cell r="B66">
            <v>1</v>
          </cell>
          <cell r="C66">
            <v>1</v>
          </cell>
          <cell r="D66">
            <v>360</v>
          </cell>
          <cell r="E66">
            <v>1</v>
          </cell>
          <cell r="F66" t="str">
            <v>USD</v>
          </cell>
          <cell r="G66">
            <v>25</v>
          </cell>
          <cell r="H66">
            <v>496116</v>
          </cell>
          <cell r="I66">
            <v>1</v>
          </cell>
          <cell r="J66" t="str">
            <v>ГАКБ "Точиксодиротбонк"</v>
          </cell>
          <cell r="K66">
            <v>12402900</v>
          </cell>
          <cell r="L66">
            <v>495381.6177631578</v>
          </cell>
          <cell r="M66">
            <v>0.9985197368421052</v>
          </cell>
          <cell r="N66">
            <v>12384540.444078946</v>
          </cell>
        </row>
        <row r="67">
          <cell r="A67">
            <v>2003</v>
          </cell>
          <cell r="B67">
            <v>1</v>
          </cell>
          <cell r="C67">
            <v>1</v>
          </cell>
          <cell r="D67">
            <v>360</v>
          </cell>
          <cell r="E67">
            <v>1</v>
          </cell>
          <cell r="F67" t="str">
            <v>USD</v>
          </cell>
          <cell r="G67">
            <v>20</v>
          </cell>
          <cell r="H67">
            <v>910650</v>
          </cell>
          <cell r="I67">
            <v>1</v>
          </cell>
          <cell r="J67" t="str">
            <v>ГАКБ "Точиксодиротбонк"</v>
          </cell>
          <cell r="K67">
            <v>18213000</v>
          </cell>
          <cell r="L67">
            <v>909301.998355263</v>
          </cell>
          <cell r="M67">
            <v>0.9985197368421052</v>
          </cell>
          <cell r="N67">
            <v>18186039.967105262</v>
          </cell>
        </row>
        <row r="68">
          <cell r="A68">
            <v>2003</v>
          </cell>
          <cell r="B68">
            <v>1</v>
          </cell>
          <cell r="C68">
            <v>3</v>
          </cell>
          <cell r="D68">
            <v>210</v>
          </cell>
          <cell r="E68">
            <v>1</v>
          </cell>
          <cell r="F68" t="str">
            <v>USD</v>
          </cell>
          <cell r="G68">
            <v>24</v>
          </cell>
          <cell r="H68">
            <v>55246</v>
          </cell>
          <cell r="I68">
            <v>1</v>
          </cell>
          <cell r="J68" t="str">
            <v>ГАКБ "Точиксодиротбонк"</v>
          </cell>
          <cell r="K68">
            <v>1325904</v>
          </cell>
          <cell r="L68">
            <v>55164.221381578944</v>
          </cell>
          <cell r="M68">
            <v>0.9985197368421052</v>
          </cell>
          <cell r="N68">
            <v>1323941.3131578946</v>
          </cell>
        </row>
        <row r="69">
          <cell r="A69">
            <v>2003</v>
          </cell>
          <cell r="B69">
            <v>1</v>
          </cell>
          <cell r="C69">
            <v>1</v>
          </cell>
          <cell r="D69">
            <v>304</v>
          </cell>
          <cell r="E69">
            <v>2</v>
          </cell>
          <cell r="F69" t="str">
            <v>TJS</v>
          </cell>
          <cell r="G69">
            <v>30</v>
          </cell>
          <cell r="H69">
            <v>600</v>
          </cell>
          <cell r="I69">
            <v>1</v>
          </cell>
          <cell r="J69" t="str">
            <v>ТАК ПСБ "Ориёнбанк"</v>
          </cell>
          <cell r="K69">
            <v>18000</v>
          </cell>
          <cell r="L69">
            <v>600</v>
          </cell>
          <cell r="M69">
            <v>1</v>
          </cell>
          <cell r="N69">
            <v>18000</v>
          </cell>
        </row>
        <row r="70">
          <cell r="A70">
            <v>2003</v>
          </cell>
          <cell r="B70">
            <v>1</v>
          </cell>
          <cell r="C70">
            <v>1</v>
          </cell>
          <cell r="D70">
            <v>360</v>
          </cell>
          <cell r="E70">
            <v>2</v>
          </cell>
          <cell r="F70" t="str">
            <v>TJS</v>
          </cell>
          <cell r="G70">
            <v>36</v>
          </cell>
          <cell r="H70">
            <v>17000</v>
          </cell>
          <cell r="I70">
            <v>3</v>
          </cell>
          <cell r="J70" t="str">
            <v>ТАК ПСБ "Ориёнбанк"</v>
          </cell>
          <cell r="K70">
            <v>612000</v>
          </cell>
          <cell r="L70">
            <v>17000</v>
          </cell>
          <cell r="M70">
            <v>1</v>
          </cell>
          <cell r="N70">
            <v>612000</v>
          </cell>
        </row>
        <row r="71">
          <cell r="A71">
            <v>2003</v>
          </cell>
          <cell r="B71">
            <v>1</v>
          </cell>
          <cell r="C71">
            <v>1</v>
          </cell>
          <cell r="D71">
            <v>180</v>
          </cell>
          <cell r="E71">
            <v>2</v>
          </cell>
          <cell r="F71" t="str">
            <v>TJS</v>
          </cell>
          <cell r="G71">
            <v>24</v>
          </cell>
          <cell r="H71">
            <v>5000</v>
          </cell>
          <cell r="I71">
            <v>1</v>
          </cell>
          <cell r="J71" t="str">
            <v>ТАК ПСБ "Ориёнбанк"</v>
          </cell>
          <cell r="K71">
            <v>120000</v>
          </cell>
          <cell r="L71">
            <v>5000</v>
          </cell>
          <cell r="M71">
            <v>1</v>
          </cell>
          <cell r="N71">
            <v>120000</v>
          </cell>
        </row>
        <row r="72">
          <cell r="A72">
            <v>2003</v>
          </cell>
          <cell r="B72">
            <v>1</v>
          </cell>
          <cell r="C72">
            <v>1</v>
          </cell>
          <cell r="D72">
            <v>210</v>
          </cell>
          <cell r="E72">
            <v>2</v>
          </cell>
          <cell r="F72" t="str">
            <v>TJS</v>
          </cell>
          <cell r="G72">
            <v>40</v>
          </cell>
          <cell r="H72">
            <v>5000</v>
          </cell>
          <cell r="I72">
            <v>1</v>
          </cell>
          <cell r="J72" t="str">
            <v>ТАК ПСБ "Ориёнбанк"</v>
          </cell>
          <cell r="K72">
            <v>200000</v>
          </cell>
          <cell r="L72">
            <v>5000</v>
          </cell>
          <cell r="M72">
            <v>1</v>
          </cell>
          <cell r="N72">
            <v>200000</v>
          </cell>
        </row>
        <row r="73">
          <cell r="A73">
            <v>2003</v>
          </cell>
          <cell r="B73">
            <v>1</v>
          </cell>
          <cell r="C73">
            <v>1</v>
          </cell>
          <cell r="D73">
            <v>240</v>
          </cell>
          <cell r="E73">
            <v>2</v>
          </cell>
          <cell r="F73" t="str">
            <v>TJS</v>
          </cell>
          <cell r="G73">
            <v>42</v>
          </cell>
          <cell r="H73">
            <v>3500</v>
          </cell>
          <cell r="I73">
            <v>1</v>
          </cell>
          <cell r="J73" t="str">
            <v>ТАК ПСБ "Ориёнбанк"</v>
          </cell>
          <cell r="K73">
            <v>147000</v>
          </cell>
          <cell r="L73">
            <v>3500</v>
          </cell>
          <cell r="M73">
            <v>1</v>
          </cell>
          <cell r="N73">
            <v>147000</v>
          </cell>
        </row>
        <row r="74">
          <cell r="A74">
            <v>2003</v>
          </cell>
          <cell r="B74">
            <v>1</v>
          </cell>
          <cell r="C74">
            <v>1</v>
          </cell>
          <cell r="D74">
            <v>155</v>
          </cell>
          <cell r="E74">
            <v>2</v>
          </cell>
          <cell r="F74" t="str">
            <v>TJS</v>
          </cell>
          <cell r="G74">
            <v>36</v>
          </cell>
          <cell r="H74">
            <v>2500</v>
          </cell>
          <cell r="I74">
            <v>1</v>
          </cell>
          <cell r="J74" t="str">
            <v>ТАК ПСБ "Ориёнбанк"</v>
          </cell>
          <cell r="K74">
            <v>90000</v>
          </cell>
          <cell r="L74">
            <v>2500</v>
          </cell>
          <cell r="M74">
            <v>1</v>
          </cell>
          <cell r="N74">
            <v>90000</v>
          </cell>
        </row>
        <row r="75">
          <cell r="A75">
            <v>2003</v>
          </cell>
          <cell r="B75">
            <v>1</v>
          </cell>
          <cell r="C75">
            <v>1</v>
          </cell>
          <cell r="D75">
            <v>147</v>
          </cell>
          <cell r="E75">
            <v>2</v>
          </cell>
          <cell r="F75" t="str">
            <v>TJS</v>
          </cell>
          <cell r="G75">
            <v>36</v>
          </cell>
          <cell r="H75">
            <v>2500</v>
          </cell>
          <cell r="I75">
            <v>1</v>
          </cell>
          <cell r="J75" t="str">
            <v>ТАК ПСБ "Ориёнбанк"</v>
          </cell>
          <cell r="K75">
            <v>90000</v>
          </cell>
          <cell r="L75">
            <v>2500</v>
          </cell>
          <cell r="M75">
            <v>1</v>
          </cell>
          <cell r="N75">
            <v>90000</v>
          </cell>
        </row>
        <row r="76">
          <cell r="A76">
            <v>2003</v>
          </cell>
          <cell r="B76">
            <v>1</v>
          </cell>
          <cell r="C76">
            <v>1</v>
          </cell>
          <cell r="D76">
            <v>45</v>
          </cell>
          <cell r="E76">
            <v>1</v>
          </cell>
          <cell r="F76" t="str">
            <v>TJS</v>
          </cell>
          <cell r="G76">
            <v>0</v>
          </cell>
          <cell r="H76">
            <v>300000</v>
          </cell>
          <cell r="I76">
            <v>1</v>
          </cell>
          <cell r="J76" t="str">
            <v>ТАК ПСБ "Ориёнбанк"</v>
          </cell>
          <cell r="K76">
            <v>0</v>
          </cell>
          <cell r="L76">
            <v>300000</v>
          </cell>
          <cell r="M76">
            <v>1</v>
          </cell>
          <cell r="N76">
            <v>0</v>
          </cell>
        </row>
        <row r="77">
          <cell r="A77">
            <v>2003</v>
          </cell>
          <cell r="B77">
            <v>1</v>
          </cell>
          <cell r="C77">
            <v>1</v>
          </cell>
          <cell r="D77">
            <v>360</v>
          </cell>
          <cell r="E77">
            <v>1</v>
          </cell>
          <cell r="F77" t="str">
            <v>TJS</v>
          </cell>
          <cell r="G77">
            <v>30</v>
          </cell>
          <cell r="H77">
            <v>65000</v>
          </cell>
          <cell r="I77">
            <v>2</v>
          </cell>
          <cell r="J77" t="str">
            <v>ТАК ПСБ "Ориёнбанк"</v>
          </cell>
          <cell r="K77">
            <v>1950000</v>
          </cell>
          <cell r="L77">
            <v>65000</v>
          </cell>
          <cell r="M77">
            <v>1</v>
          </cell>
          <cell r="N77">
            <v>1950000</v>
          </cell>
        </row>
        <row r="78">
          <cell r="A78">
            <v>2003</v>
          </cell>
          <cell r="B78">
            <v>1</v>
          </cell>
          <cell r="C78">
            <v>1</v>
          </cell>
          <cell r="D78">
            <v>180</v>
          </cell>
          <cell r="E78">
            <v>2</v>
          </cell>
          <cell r="F78" t="str">
            <v>TJS</v>
          </cell>
          <cell r="G78">
            <v>28</v>
          </cell>
          <cell r="H78">
            <v>53850</v>
          </cell>
          <cell r="I78">
            <v>2</v>
          </cell>
          <cell r="J78" t="str">
            <v>ТАК ПСБ "Ориёнбанк"</v>
          </cell>
          <cell r="K78">
            <v>1507800</v>
          </cell>
          <cell r="L78">
            <v>53850</v>
          </cell>
          <cell r="M78">
            <v>1</v>
          </cell>
          <cell r="N78">
            <v>1507800</v>
          </cell>
        </row>
        <row r="79">
          <cell r="A79">
            <v>2003</v>
          </cell>
          <cell r="B79">
            <v>1</v>
          </cell>
          <cell r="C79">
            <v>1</v>
          </cell>
          <cell r="D79">
            <v>37</v>
          </cell>
          <cell r="E79">
            <v>1</v>
          </cell>
          <cell r="F79" t="str">
            <v>TJS</v>
          </cell>
          <cell r="G79">
            <v>24</v>
          </cell>
          <cell r="H79">
            <v>150000</v>
          </cell>
          <cell r="I79">
            <v>1</v>
          </cell>
          <cell r="J79" t="str">
            <v>ТАК ПСБ "Ориёнбанк"</v>
          </cell>
          <cell r="K79">
            <v>3600000</v>
          </cell>
          <cell r="L79">
            <v>150000</v>
          </cell>
          <cell r="M79">
            <v>1</v>
          </cell>
          <cell r="N79">
            <v>3600000</v>
          </cell>
        </row>
        <row r="80">
          <cell r="A80">
            <v>2003</v>
          </cell>
          <cell r="B80">
            <v>1</v>
          </cell>
          <cell r="C80">
            <v>1</v>
          </cell>
          <cell r="D80">
            <v>49</v>
          </cell>
          <cell r="E80">
            <v>1</v>
          </cell>
          <cell r="F80" t="str">
            <v>TJS</v>
          </cell>
          <cell r="G80">
            <v>24</v>
          </cell>
          <cell r="H80">
            <v>50000</v>
          </cell>
          <cell r="I80">
            <v>1</v>
          </cell>
          <cell r="J80" t="str">
            <v>ТАК ПСБ "Ориёнбанк"</v>
          </cell>
          <cell r="K80">
            <v>1200000</v>
          </cell>
          <cell r="L80">
            <v>50000</v>
          </cell>
          <cell r="M80">
            <v>1</v>
          </cell>
          <cell r="N80">
            <v>1200000</v>
          </cell>
        </row>
        <row r="81">
          <cell r="A81">
            <v>2003</v>
          </cell>
          <cell r="B81">
            <v>1</v>
          </cell>
          <cell r="C81">
            <v>1</v>
          </cell>
          <cell r="D81">
            <v>36</v>
          </cell>
          <cell r="E81">
            <v>1</v>
          </cell>
          <cell r="F81" t="str">
            <v>TJS</v>
          </cell>
          <cell r="G81">
            <v>24</v>
          </cell>
          <cell r="H81">
            <v>50000</v>
          </cell>
          <cell r="I81">
            <v>1</v>
          </cell>
          <cell r="J81" t="str">
            <v>ТАК ПСБ "Ориёнбанк"</v>
          </cell>
          <cell r="K81">
            <v>1200000</v>
          </cell>
          <cell r="L81">
            <v>50000</v>
          </cell>
          <cell r="M81">
            <v>1</v>
          </cell>
          <cell r="N81">
            <v>1200000</v>
          </cell>
        </row>
        <row r="82">
          <cell r="A82">
            <v>2003</v>
          </cell>
          <cell r="B82">
            <v>1</v>
          </cell>
          <cell r="C82">
            <v>1</v>
          </cell>
          <cell r="D82">
            <v>360</v>
          </cell>
          <cell r="E82">
            <v>2</v>
          </cell>
          <cell r="F82" t="str">
            <v>TJS</v>
          </cell>
          <cell r="G82">
            <v>30</v>
          </cell>
          <cell r="H82">
            <v>5000</v>
          </cell>
          <cell r="I82">
            <v>1</v>
          </cell>
          <cell r="J82" t="str">
            <v>ТАК ПСБ "Ориёнбанк"</v>
          </cell>
          <cell r="K82">
            <v>150000</v>
          </cell>
          <cell r="L82">
            <v>5000</v>
          </cell>
          <cell r="M82">
            <v>1</v>
          </cell>
          <cell r="N82">
            <v>150000</v>
          </cell>
        </row>
        <row r="83">
          <cell r="A83">
            <v>2003</v>
          </cell>
          <cell r="B83">
            <v>1</v>
          </cell>
          <cell r="C83">
            <v>1</v>
          </cell>
          <cell r="D83">
            <v>310</v>
          </cell>
          <cell r="E83">
            <v>1</v>
          </cell>
          <cell r="F83" t="str">
            <v>TJS</v>
          </cell>
          <cell r="G83">
            <v>30</v>
          </cell>
          <cell r="H83">
            <v>100000</v>
          </cell>
          <cell r="I83">
            <v>1</v>
          </cell>
          <cell r="J83" t="str">
            <v>ТАК ПСБ "Ориёнбанк"</v>
          </cell>
          <cell r="K83">
            <v>3000000</v>
          </cell>
          <cell r="L83">
            <v>100000</v>
          </cell>
          <cell r="M83">
            <v>1</v>
          </cell>
          <cell r="N83">
            <v>3000000</v>
          </cell>
        </row>
        <row r="84">
          <cell r="A84">
            <v>2003</v>
          </cell>
          <cell r="B84">
            <v>1</v>
          </cell>
          <cell r="C84">
            <v>1</v>
          </cell>
          <cell r="D84">
            <v>31</v>
          </cell>
          <cell r="E84">
            <v>1</v>
          </cell>
          <cell r="F84" t="str">
            <v>TJS</v>
          </cell>
          <cell r="G84">
            <v>26</v>
          </cell>
          <cell r="H84">
            <v>630000</v>
          </cell>
          <cell r="I84">
            <v>1</v>
          </cell>
          <cell r="J84" t="str">
            <v>ТАК ПСБ "Ориёнбанк"</v>
          </cell>
          <cell r="K84">
            <v>16380000</v>
          </cell>
          <cell r="L84">
            <v>630000</v>
          </cell>
          <cell r="M84">
            <v>1</v>
          </cell>
          <cell r="N84">
            <v>16380000</v>
          </cell>
        </row>
        <row r="85">
          <cell r="A85">
            <v>2003</v>
          </cell>
          <cell r="B85">
            <v>1</v>
          </cell>
          <cell r="C85">
            <v>1</v>
          </cell>
          <cell r="D85">
            <v>7</v>
          </cell>
          <cell r="E85">
            <v>1</v>
          </cell>
          <cell r="F85" t="str">
            <v>TJS</v>
          </cell>
          <cell r="G85">
            <v>28</v>
          </cell>
          <cell r="H85">
            <v>105253</v>
          </cell>
          <cell r="I85">
            <v>1</v>
          </cell>
          <cell r="J85" t="str">
            <v>ТАК ПСБ "Ориёнбанк"</v>
          </cell>
          <cell r="K85">
            <v>2947084</v>
          </cell>
          <cell r="L85">
            <v>105253</v>
          </cell>
          <cell r="M85">
            <v>1</v>
          </cell>
          <cell r="N85">
            <v>2947084</v>
          </cell>
        </row>
        <row r="86">
          <cell r="A86">
            <v>2003</v>
          </cell>
          <cell r="B86">
            <v>1</v>
          </cell>
          <cell r="C86">
            <v>1</v>
          </cell>
          <cell r="D86">
            <v>65</v>
          </cell>
          <cell r="E86">
            <v>2</v>
          </cell>
          <cell r="F86" t="str">
            <v>TJS</v>
          </cell>
          <cell r="G86">
            <v>30</v>
          </cell>
          <cell r="H86">
            <v>62000</v>
          </cell>
          <cell r="I86">
            <v>1</v>
          </cell>
          <cell r="J86" t="str">
            <v>ТАК ПСБ "Ориёнбанк"</v>
          </cell>
          <cell r="K86">
            <v>1860000</v>
          </cell>
          <cell r="L86">
            <v>62000</v>
          </cell>
          <cell r="M86">
            <v>1</v>
          </cell>
          <cell r="N86">
            <v>1860000</v>
          </cell>
        </row>
        <row r="87">
          <cell r="A87">
            <v>2003</v>
          </cell>
          <cell r="B87">
            <v>1</v>
          </cell>
          <cell r="C87">
            <v>1</v>
          </cell>
          <cell r="D87">
            <v>336</v>
          </cell>
          <cell r="E87">
            <v>2</v>
          </cell>
          <cell r="F87" t="str">
            <v>TJS</v>
          </cell>
          <cell r="G87">
            <v>28</v>
          </cell>
          <cell r="H87">
            <v>100000</v>
          </cell>
          <cell r="I87">
            <v>1</v>
          </cell>
          <cell r="J87" t="str">
            <v>ТАК ПСБ "Ориёнбанк"</v>
          </cell>
          <cell r="K87">
            <v>2800000</v>
          </cell>
          <cell r="L87">
            <v>100000</v>
          </cell>
          <cell r="M87">
            <v>1</v>
          </cell>
          <cell r="N87">
            <v>2800000</v>
          </cell>
        </row>
        <row r="88">
          <cell r="A88">
            <v>2003</v>
          </cell>
          <cell r="B88">
            <v>1</v>
          </cell>
          <cell r="C88">
            <v>1</v>
          </cell>
          <cell r="D88">
            <v>7</v>
          </cell>
          <cell r="E88">
            <v>2</v>
          </cell>
          <cell r="F88" t="str">
            <v>TJS</v>
          </cell>
          <cell r="G88">
            <v>30</v>
          </cell>
          <cell r="H88">
            <v>1650</v>
          </cell>
          <cell r="I88">
            <v>1</v>
          </cell>
          <cell r="J88" t="str">
            <v>ТАК ПСБ "Ориёнбанк"</v>
          </cell>
          <cell r="K88">
            <v>49500</v>
          </cell>
          <cell r="L88">
            <v>1650</v>
          </cell>
          <cell r="M88">
            <v>1</v>
          </cell>
          <cell r="N88">
            <v>49500</v>
          </cell>
        </row>
        <row r="89">
          <cell r="A89">
            <v>2003</v>
          </cell>
          <cell r="B89">
            <v>1</v>
          </cell>
          <cell r="C89">
            <v>1</v>
          </cell>
          <cell r="D89">
            <v>1080</v>
          </cell>
          <cell r="E89">
            <v>2</v>
          </cell>
          <cell r="F89" t="str">
            <v>TJS</v>
          </cell>
          <cell r="G89">
            <v>20</v>
          </cell>
          <cell r="H89">
            <v>1620</v>
          </cell>
          <cell r="I89">
            <v>1</v>
          </cell>
          <cell r="J89" t="str">
            <v>ТАК ПСБ "Ориёнбанк"</v>
          </cell>
          <cell r="K89">
            <v>32400</v>
          </cell>
          <cell r="L89">
            <v>1620</v>
          </cell>
          <cell r="M89">
            <v>1</v>
          </cell>
          <cell r="N89">
            <v>32400</v>
          </cell>
        </row>
        <row r="90">
          <cell r="A90">
            <v>2003</v>
          </cell>
          <cell r="B90">
            <v>1</v>
          </cell>
          <cell r="C90">
            <v>1</v>
          </cell>
          <cell r="D90">
            <v>181</v>
          </cell>
          <cell r="E90">
            <v>1</v>
          </cell>
          <cell r="F90" t="str">
            <v>TJS</v>
          </cell>
          <cell r="G90">
            <v>36</v>
          </cell>
          <cell r="H90">
            <v>10000</v>
          </cell>
          <cell r="I90">
            <v>1</v>
          </cell>
          <cell r="J90" t="str">
            <v>ТАК ПСБ "Ориёнбанк"</v>
          </cell>
          <cell r="K90">
            <v>360000</v>
          </cell>
          <cell r="L90">
            <v>10000</v>
          </cell>
          <cell r="M90">
            <v>1</v>
          </cell>
          <cell r="N90">
            <v>360000</v>
          </cell>
        </row>
        <row r="91">
          <cell r="A91">
            <v>2003</v>
          </cell>
          <cell r="B91">
            <v>1</v>
          </cell>
          <cell r="C91">
            <v>1</v>
          </cell>
          <cell r="D91">
            <v>181</v>
          </cell>
          <cell r="E91">
            <v>2</v>
          </cell>
          <cell r="F91" t="str">
            <v>TJS</v>
          </cell>
          <cell r="G91">
            <v>36</v>
          </cell>
          <cell r="H91">
            <v>5000</v>
          </cell>
          <cell r="I91">
            <v>1</v>
          </cell>
          <cell r="J91" t="str">
            <v>ТАК ПСБ "Ориёнбанк"</v>
          </cell>
          <cell r="K91">
            <v>180000</v>
          </cell>
          <cell r="L91">
            <v>5000</v>
          </cell>
          <cell r="M91">
            <v>1</v>
          </cell>
          <cell r="N91">
            <v>180000</v>
          </cell>
        </row>
        <row r="92">
          <cell r="A92">
            <v>2003</v>
          </cell>
          <cell r="B92">
            <v>1</v>
          </cell>
          <cell r="C92">
            <v>1</v>
          </cell>
          <cell r="D92">
            <v>180</v>
          </cell>
          <cell r="E92">
            <v>2</v>
          </cell>
          <cell r="F92" t="str">
            <v>TJS</v>
          </cell>
          <cell r="G92">
            <v>30</v>
          </cell>
          <cell r="H92">
            <v>27500</v>
          </cell>
          <cell r="I92">
            <v>10</v>
          </cell>
          <cell r="J92" t="str">
            <v>ТАК ПСБ "Ориёнбанк"</v>
          </cell>
          <cell r="K92">
            <v>825000</v>
          </cell>
          <cell r="L92">
            <v>27500</v>
          </cell>
          <cell r="M92">
            <v>1</v>
          </cell>
          <cell r="N92">
            <v>825000</v>
          </cell>
        </row>
        <row r="93">
          <cell r="A93">
            <v>2003</v>
          </cell>
          <cell r="B93">
            <v>1</v>
          </cell>
          <cell r="C93">
            <v>1</v>
          </cell>
          <cell r="D93">
            <v>160</v>
          </cell>
          <cell r="E93">
            <v>2</v>
          </cell>
          <cell r="F93" t="str">
            <v>TJS</v>
          </cell>
          <cell r="G93">
            <v>36</v>
          </cell>
          <cell r="H93">
            <v>2500</v>
          </cell>
          <cell r="I93">
            <v>1</v>
          </cell>
          <cell r="J93" t="str">
            <v>ТАК ПСБ "Ориёнбанк"</v>
          </cell>
          <cell r="K93">
            <v>90000</v>
          </cell>
          <cell r="L93">
            <v>2500</v>
          </cell>
          <cell r="M93">
            <v>1</v>
          </cell>
          <cell r="N93">
            <v>90000</v>
          </cell>
        </row>
        <row r="94">
          <cell r="A94">
            <v>2003</v>
          </cell>
          <cell r="B94">
            <v>1</v>
          </cell>
          <cell r="C94">
            <v>1</v>
          </cell>
          <cell r="D94">
            <v>153</v>
          </cell>
          <cell r="E94">
            <v>2</v>
          </cell>
          <cell r="F94" t="str">
            <v>TJS</v>
          </cell>
          <cell r="G94">
            <v>36</v>
          </cell>
          <cell r="H94">
            <v>10000</v>
          </cell>
          <cell r="I94">
            <v>4</v>
          </cell>
          <cell r="J94" t="str">
            <v>ТАК ПСБ "Ориёнбанк"</v>
          </cell>
          <cell r="K94">
            <v>360000</v>
          </cell>
          <cell r="L94">
            <v>10000</v>
          </cell>
          <cell r="M94">
            <v>1</v>
          </cell>
          <cell r="N94">
            <v>360000</v>
          </cell>
        </row>
        <row r="95">
          <cell r="A95">
            <v>2003</v>
          </cell>
          <cell r="B95">
            <v>1</v>
          </cell>
          <cell r="C95">
            <v>1</v>
          </cell>
          <cell r="D95">
            <v>91</v>
          </cell>
          <cell r="E95">
            <v>2</v>
          </cell>
          <cell r="F95" t="str">
            <v>TJS</v>
          </cell>
          <cell r="G95">
            <v>36</v>
          </cell>
          <cell r="H95">
            <v>2500</v>
          </cell>
          <cell r="I95">
            <v>1</v>
          </cell>
          <cell r="J95" t="str">
            <v>ТАК ПСБ "Ориёнбанк"</v>
          </cell>
          <cell r="K95">
            <v>90000</v>
          </cell>
          <cell r="L95">
            <v>2500</v>
          </cell>
          <cell r="M95">
            <v>1</v>
          </cell>
          <cell r="N95">
            <v>90000</v>
          </cell>
        </row>
        <row r="96">
          <cell r="A96">
            <v>2003</v>
          </cell>
          <cell r="B96">
            <v>1</v>
          </cell>
          <cell r="C96">
            <v>1</v>
          </cell>
          <cell r="D96">
            <v>156</v>
          </cell>
          <cell r="E96">
            <v>2</v>
          </cell>
          <cell r="F96" t="str">
            <v>TJS</v>
          </cell>
          <cell r="G96">
            <v>36</v>
          </cell>
          <cell r="H96">
            <v>2500</v>
          </cell>
          <cell r="I96">
            <v>1</v>
          </cell>
          <cell r="J96" t="str">
            <v>ТАК ПСБ "Ориёнбанк"</v>
          </cell>
          <cell r="K96">
            <v>90000</v>
          </cell>
          <cell r="L96">
            <v>2500</v>
          </cell>
          <cell r="M96">
            <v>1</v>
          </cell>
          <cell r="N96">
            <v>90000</v>
          </cell>
        </row>
        <row r="97">
          <cell r="A97">
            <v>2003</v>
          </cell>
          <cell r="B97">
            <v>1</v>
          </cell>
          <cell r="C97">
            <v>1</v>
          </cell>
          <cell r="D97">
            <v>152</v>
          </cell>
          <cell r="E97">
            <v>2</v>
          </cell>
          <cell r="F97" t="str">
            <v>TJS</v>
          </cell>
          <cell r="G97">
            <v>36</v>
          </cell>
          <cell r="H97">
            <v>2500</v>
          </cell>
          <cell r="I97">
            <v>1</v>
          </cell>
          <cell r="J97" t="str">
            <v>ТАК ПСБ "Ориёнбанк"</v>
          </cell>
          <cell r="K97">
            <v>90000</v>
          </cell>
          <cell r="L97">
            <v>2500</v>
          </cell>
          <cell r="M97">
            <v>1</v>
          </cell>
          <cell r="N97">
            <v>90000</v>
          </cell>
        </row>
        <row r="98">
          <cell r="A98">
            <v>2003</v>
          </cell>
          <cell r="B98">
            <v>1</v>
          </cell>
          <cell r="C98">
            <v>1</v>
          </cell>
          <cell r="D98">
            <v>154</v>
          </cell>
          <cell r="E98">
            <v>2</v>
          </cell>
          <cell r="F98" t="str">
            <v>TJS</v>
          </cell>
          <cell r="G98">
            <v>36</v>
          </cell>
          <cell r="H98">
            <v>2500</v>
          </cell>
          <cell r="I98">
            <v>1</v>
          </cell>
          <cell r="J98" t="str">
            <v>ТАК ПСБ "Ориёнбанк"</v>
          </cell>
          <cell r="K98">
            <v>90000</v>
          </cell>
          <cell r="L98">
            <v>2500</v>
          </cell>
          <cell r="M98">
            <v>1</v>
          </cell>
          <cell r="N98">
            <v>90000</v>
          </cell>
        </row>
        <row r="99">
          <cell r="A99">
            <v>2003</v>
          </cell>
          <cell r="B99">
            <v>1</v>
          </cell>
          <cell r="C99">
            <v>1</v>
          </cell>
          <cell r="D99">
            <v>150</v>
          </cell>
          <cell r="E99">
            <v>2</v>
          </cell>
          <cell r="F99" t="str">
            <v>TJS</v>
          </cell>
          <cell r="G99">
            <v>36</v>
          </cell>
          <cell r="H99">
            <v>12500</v>
          </cell>
          <cell r="I99">
            <v>5</v>
          </cell>
          <cell r="J99" t="str">
            <v>ТАК ПСБ "Ориёнбанк"</v>
          </cell>
          <cell r="K99">
            <v>450000</v>
          </cell>
          <cell r="L99">
            <v>12500</v>
          </cell>
          <cell r="M99">
            <v>1</v>
          </cell>
          <cell r="N99">
            <v>450000</v>
          </cell>
        </row>
        <row r="100">
          <cell r="A100">
            <v>2003</v>
          </cell>
          <cell r="B100">
            <v>1</v>
          </cell>
          <cell r="C100">
            <v>1</v>
          </cell>
          <cell r="D100">
            <v>145</v>
          </cell>
          <cell r="E100">
            <v>2</v>
          </cell>
          <cell r="F100" t="str">
            <v>TJS</v>
          </cell>
          <cell r="G100">
            <v>36</v>
          </cell>
          <cell r="H100">
            <v>2500</v>
          </cell>
          <cell r="I100">
            <v>1</v>
          </cell>
          <cell r="J100" t="str">
            <v>ТАК ПСБ "Ориёнбанк"</v>
          </cell>
          <cell r="K100">
            <v>90000</v>
          </cell>
          <cell r="L100">
            <v>2500</v>
          </cell>
          <cell r="M100">
            <v>1</v>
          </cell>
          <cell r="N100">
            <v>90000</v>
          </cell>
        </row>
        <row r="101">
          <cell r="A101">
            <v>2003</v>
          </cell>
          <cell r="B101">
            <v>1</v>
          </cell>
          <cell r="C101">
            <v>1</v>
          </cell>
          <cell r="D101">
            <v>148</v>
          </cell>
          <cell r="E101">
            <v>2</v>
          </cell>
          <cell r="F101" t="str">
            <v>TJS</v>
          </cell>
          <cell r="G101">
            <v>30</v>
          </cell>
          <cell r="H101">
            <v>2500</v>
          </cell>
          <cell r="I101">
            <v>1</v>
          </cell>
          <cell r="J101" t="str">
            <v>ТАК ПСБ "Ориёнбанк"</v>
          </cell>
          <cell r="K101">
            <v>75000</v>
          </cell>
          <cell r="L101">
            <v>2500</v>
          </cell>
          <cell r="M101">
            <v>1</v>
          </cell>
          <cell r="N101">
            <v>75000</v>
          </cell>
        </row>
        <row r="102">
          <cell r="A102">
            <v>2003</v>
          </cell>
          <cell r="B102">
            <v>1</v>
          </cell>
          <cell r="C102">
            <v>1</v>
          </cell>
          <cell r="D102">
            <v>344</v>
          </cell>
          <cell r="E102">
            <v>1</v>
          </cell>
          <cell r="F102" t="str">
            <v>TJS</v>
          </cell>
          <cell r="G102">
            <v>28</v>
          </cell>
          <cell r="H102">
            <v>30000</v>
          </cell>
          <cell r="I102">
            <v>1</v>
          </cell>
          <cell r="J102" t="str">
            <v>ТАК ПСБ "Ориёнбанк"</v>
          </cell>
          <cell r="K102">
            <v>840000</v>
          </cell>
          <cell r="L102">
            <v>30000</v>
          </cell>
          <cell r="M102">
            <v>1</v>
          </cell>
          <cell r="N102">
            <v>840000</v>
          </cell>
        </row>
        <row r="103">
          <cell r="A103">
            <v>2003</v>
          </cell>
          <cell r="B103">
            <v>1</v>
          </cell>
          <cell r="C103">
            <v>1</v>
          </cell>
          <cell r="D103">
            <v>180</v>
          </cell>
          <cell r="E103">
            <v>2</v>
          </cell>
          <cell r="F103" t="str">
            <v>TJS</v>
          </cell>
          <cell r="G103">
            <v>36</v>
          </cell>
          <cell r="H103">
            <v>11500</v>
          </cell>
          <cell r="I103">
            <v>5</v>
          </cell>
          <cell r="J103" t="str">
            <v>ТАК ПСБ "Ориёнбанк"</v>
          </cell>
          <cell r="K103">
            <v>414000</v>
          </cell>
          <cell r="L103">
            <v>11500</v>
          </cell>
          <cell r="M103">
            <v>1</v>
          </cell>
          <cell r="N103">
            <v>414000</v>
          </cell>
        </row>
        <row r="104">
          <cell r="A104">
            <v>2003</v>
          </cell>
          <cell r="B104">
            <v>1</v>
          </cell>
          <cell r="C104">
            <v>1</v>
          </cell>
          <cell r="D104">
            <v>180</v>
          </cell>
          <cell r="E104">
            <v>1</v>
          </cell>
          <cell r="F104" t="str">
            <v>TJS</v>
          </cell>
          <cell r="G104">
            <v>48</v>
          </cell>
          <cell r="H104">
            <v>2500</v>
          </cell>
          <cell r="I104">
            <v>1</v>
          </cell>
          <cell r="J104" t="str">
            <v>ТАК ПСБ "Ориёнбанк"</v>
          </cell>
          <cell r="K104">
            <v>120000</v>
          </cell>
          <cell r="L104">
            <v>2500</v>
          </cell>
          <cell r="M104">
            <v>1</v>
          </cell>
          <cell r="N104">
            <v>120000</v>
          </cell>
        </row>
        <row r="105">
          <cell r="A105">
            <v>2003</v>
          </cell>
          <cell r="B105">
            <v>1</v>
          </cell>
          <cell r="C105">
            <v>1</v>
          </cell>
          <cell r="D105">
            <v>180</v>
          </cell>
          <cell r="E105">
            <v>1</v>
          </cell>
          <cell r="F105" t="str">
            <v>TJS</v>
          </cell>
          <cell r="G105">
            <v>36</v>
          </cell>
          <cell r="H105">
            <v>2500</v>
          </cell>
          <cell r="I105">
            <v>1</v>
          </cell>
          <cell r="J105" t="str">
            <v>ТАК ПСБ "Ориёнбанк"</v>
          </cell>
          <cell r="K105">
            <v>90000</v>
          </cell>
          <cell r="L105">
            <v>2500</v>
          </cell>
          <cell r="M105">
            <v>1</v>
          </cell>
          <cell r="N105">
            <v>90000</v>
          </cell>
        </row>
        <row r="106">
          <cell r="A106">
            <v>2003</v>
          </cell>
          <cell r="B106">
            <v>1</v>
          </cell>
          <cell r="C106">
            <v>1</v>
          </cell>
          <cell r="D106">
            <v>187</v>
          </cell>
          <cell r="E106">
            <v>2</v>
          </cell>
          <cell r="F106" t="str">
            <v>TJS</v>
          </cell>
          <cell r="G106">
            <v>42</v>
          </cell>
          <cell r="H106">
            <v>1500</v>
          </cell>
          <cell r="I106">
            <v>1</v>
          </cell>
          <cell r="J106" t="str">
            <v>ТАК ПСБ "Ориёнбанк"</v>
          </cell>
          <cell r="K106">
            <v>63000</v>
          </cell>
          <cell r="L106">
            <v>1500</v>
          </cell>
          <cell r="M106">
            <v>1</v>
          </cell>
          <cell r="N106">
            <v>63000</v>
          </cell>
        </row>
        <row r="107">
          <cell r="A107">
            <v>2003</v>
          </cell>
          <cell r="B107">
            <v>1</v>
          </cell>
          <cell r="C107">
            <v>1</v>
          </cell>
          <cell r="D107">
            <v>123</v>
          </cell>
          <cell r="E107">
            <v>2</v>
          </cell>
          <cell r="F107" t="str">
            <v>TJS</v>
          </cell>
          <cell r="G107">
            <v>42</v>
          </cell>
          <cell r="H107">
            <v>2500</v>
          </cell>
          <cell r="I107">
            <v>1</v>
          </cell>
          <cell r="J107" t="str">
            <v>ТАК ПСБ "Ориёнбанк"</v>
          </cell>
          <cell r="K107">
            <v>105000</v>
          </cell>
          <cell r="L107">
            <v>2500</v>
          </cell>
          <cell r="M107">
            <v>1</v>
          </cell>
          <cell r="N107">
            <v>105000</v>
          </cell>
        </row>
        <row r="108">
          <cell r="A108">
            <v>2003</v>
          </cell>
          <cell r="B108">
            <v>1</v>
          </cell>
          <cell r="C108">
            <v>1</v>
          </cell>
          <cell r="D108">
            <v>180</v>
          </cell>
          <cell r="E108">
            <v>2</v>
          </cell>
          <cell r="F108" t="str">
            <v>TJS</v>
          </cell>
          <cell r="G108">
            <v>40</v>
          </cell>
          <cell r="H108">
            <v>3700</v>
          </cell>
          <cell r="I108">
            <v>2</v>
          </cell>
          <cell r="J108" t="str">
            <v>ТАК ПСБ "Ориёнбанк"</v>
          </cell>
          <cell r="K108">
            <v>148000</v>
          </cell>
          <cell r="L108">
            <v>3700</v>
          </cell>
          <cell r="M108">
            <v>1</v>
          </cell>
          <cell r="N108">
            <v>148000</v>
          </cell>
        </row>
        <row r="109">
          <cell r="A109">
            <v>2003</v>
          </cell>
          <cell r="B109">
            <v>1</v>
          </cell>
          <cell r="C109">
            <v>1</v>
          </cell>
          <cell r="D109">
            <v>120</v>
          </cell>
          <cell r="E109">
            <v>2</v>
          </cell>
          <cell r="F109" t="str">
            <v>TJS</v>
          </cell>
          <cell r="G109">
            <v>40</v>
          </cell>
          <cell r="H109">
            <v>900</v>
          </cell>
          <cell r="I109">
            <v>1</v>
          </cell>
          <cell r="J109" t="str">
            <v>ТАК ПСБ "Ориёнбанк"</v>
          </cell>
          <cell r="K109">
            <v>36000</v>
          </cell>
          <cell r="L109">
            <v>900</v>
          </cell>
          <cell r="M109">
            <v>1</v>
          </cell>
          <cell r="N109">
            <v>36000</v>
          </cell>
        </row>
        <row r="110">
          <cell r="A110">
            <v>2003</v>
          </cell>
          <cell r="B110">
            <v>1</v>
          </cell>
          <cell r="C110">
            <v>1</v>
          </cell>
          <cell r="D110">
            <v>300</v>
          </cell>
          <cell r="E110">
            <v>2</v>
          </cell>
          <cell r="F110" t="str">
            <v>TJS</v>
          </cell>
          <cell r="G110">
            <v>40</v>
          </cell>
          <cell r="H110">
            <v>5000</v>
          </cell>
          <cell r="I110">
            <v>1</v>
          </cell>
          <cell r="J110" t="str">
            <v>ТАК ПСБ "Ориёнбанк"</v>
          </cell>
          <cell r="K110">
            <v>200000</v>
          </cell>
          <cell r="L110">
            <v>5000</v>
          </cell>
          <cell r="M110">
            <v>1</v>
          </cell>
          <cell r="N110">
            <v>200000</v>
          </cell>
        </row>
        <row r="111">
          <cell r="A111">
            <v>2003</v>
          </cell>
          <cell r="B111">
            <v>1</v>
          </cell>
          <cell r="C111">
            <v>1</v>
          </cell>
          <cell r="D111">
            <v>210</v>
          </cell>
          <cell r="E111">
            <v>2</v>
          </cell>
          <cell r="F111" t="str">
            <v>TJS</v>
          </cell>
          <cell r="G111">
            <v>42</v>
          </cell>
          <cell r="H111">
            <v>3200</v>
          </cell>
          <cell r="I111">
            <v>1</v>
          </cell>
          <cell r="J111" t="str">
            <v>ТАК ПСБ "Ориёнбанк"</v>
          </cell>
          <cell r="K111">
            <v>134400</v>
          </cell>
          <cell r="L111">
            <v>3200</v>
          </cell>
          <cell r="M111">
            <v>1</v>
          </cell>
          <cell r="N111">
            <v>134400</v>
          </cell>
        </row>
        <row r="112">
          <cell r="A112">
            <v>2003</v>
          </cell>
          <cell r="B112">
            <v>1</v>
          </cell>
          <cell r="C112">
            <v>1</v>
          </cell>
          <cell r="D112">
            <v>720</v>
          </cell>
          <cell r="E112">
            <v>2</v>
          </cell>
          <cell r="F112" t="str">
            <v>TJS</v>
          </cell>
          <cell r="G112">
            <v>20</v>
          </cell>
          <cell r="H112">
            <v>640</v>
          </cell>
          <cell r="I112">
            <v>1</v>
          </cell>
          <cell r="J112" t="str">
            <v>ТАК ПСБ "Ориёнбанк"</v>
          </cell>
          <cell r="K112">
            <v>12800</v>
          </cell>
          <cell r="L112">
            <v>640</v>
          </cell>
          <cell r="M112">
            <v>1</v>
          </cell>
          <cell r="N112">
            <v>12800</v>
          </cell>
        </row>
        <row r="113">
          <cell r="A113">
            <v>2003</v>
          </cell>
          <cell r="B113">
            <v>1</v>
          </cell>
          <cell r="C113">
            <v>1</v>
          </cell>
          <cell r="D113">
            <v>240</v>
          </cell>
          <cell r="E113">
            <v>2</v>
          </cell>
          <cell r="F113" t="str">
            <v>TJS</v>
          </cell>
          <cell r="G113">
            <v>42</v>
          </cell>
          <cell r="H113">
            <v>5000</v>
          </cell>
          <cell r="I113">
            <v>1</v>
          </cell>
          <cell r="J113" t="str">
            <v>ТАК ПСБ "Ориёнбанк"</v>
          </cell>
          <cell r="K113">
            <v>210000</v>
          </cell>
          <cell r="L113">
            <v>5000</v>
          </cell>
          <cell r="M113">
            <v>1</v>
          </cell>
          <cell r="N113">
            <v>210000</v>
          </cell>
        </row>
        <row r="114">
          <cell r="A114">
            <v>2003</v>
          </cell>
          <cell r="B114">
            <v>1</v>
          </cell>
          <cell r="C114">
            <v>1</v>
          </cell>
          <cell r="D114">
            <v>161</v>
          </cell>
          <cell r="E114">
            <v>2</v>
          </cell>
          <cell r="F114" t="str">
            <v>TJS</v>
          </cell>
          <cell r="G114">
            <v>36</v>
          </cell>
          <cell r="H114">
            <v>2500</v>
          </cell>
          <cell r="I114">
            <v>1</v>
          </cell>
          <cell r="J114" t="str">
            <v>ТАК ПСБ "Ориёнбанк"</v>
          </cell>
          <cell r="K114">
            <v>90000</v>
          </cell>
          <cell r="L114">
            <v>2500</v>
          </cell>
          <cell r="M114">
            <v>1</v>
          </cell>
          <cell r="N114">
            <v>90000</v>
          </cell>
        </row>
        <row r="115">
          <cell r="A115">
            <v>2003</v>
          </cell>
          <cell r="B115">
            <v>1</v>
          </cell>
          <cell r="C115">
            <v>1</v>
          </cell>
          <cell r="D115">
            <v>165</v>
          </cell>
          <cell r="E115">
            <v>2</v>
          </cell>
          <cell r="F115" t="str">
            <v>TJS</v>
          </cell>
          <cell r="G115">
            <v>36</v>
          </cell>
          <cell r="H115">
            <v>2500</v>
          </cell>
          <cell r="I115">
            <v>1</v>
          </cell>
          <cell r="J115" t="str">
            <v>ТАК ПСБ "Ориёнбанк"</v>
          </cell>
          <cell r="K115">
            <v>90000</v>
          </cell>
          <cell r="L115">
            <v>2500</v>
          </cell>
          <cell r="M115">
            <v>1</v>
          </cell>
          <cell r="N115">
            <v>90000</v>
          </cell>
        </row>
        <row r="116">
          <cell r="A116">
            <v>2003</v>
          </cell>
          <cell r="B116">
            <v>1</v>
          </cell>
          <cell r="C116">
            <v>1</v>
          </cell>
          <cell r="D116">
            <v>360</v>
          </cell>
          <cell r="E116">
            <v>1</v>
          </cell>
          <cell r="F116" t="str">
            <v>TJS</v>
          </cell>
          <cell r="G116">
            <v>36</v>
          </cell>
          <cell r="H116">
            <v>2500</v>
          </cell>
          <cell r="I116">
            <v>1</v>
          </cell>
          <cell r="J116" t="str">
            <v>ТАК ПСБ "Ориёнбанк"</v>
          </cell>
          <cell r="K116">
            <v>90000</v>
          </cell>
          <cell r="L116">
            <v>2500</v>
          </cell>
          <cell r="M116">
            <v>1</v>
          </cell>
          <cell r="N116">
            <v>90000</v>
          </cell>
        </row>
        <row r="117">
          <cell r="A117">
            <v>2003</v>
          </cell>
          <cell r="B117">
            <v>1</v>
          </cell>
          <cell r="C117">
            <v>1</v>
          </cell>
          <cell r="D117">
            <v>178</v>
          </cell>
          <cell r="E117">
            <v>2</v>
          </cell>
          <cell r="F117" t="str">
            <v>TJS</v>
          </cell>
          <cell r="G117">
            <v>30</v>
          </cell>
          <cell r="H117">
            <v>15000</v>
          </cell>
          <cell r="I117">
            <v>6</v>
          </cell>
          <cell r="J117" t="str">
            <v>ТАК ПСБ "Ориёнбанк"</v>
          </cell>
          <cell r="K117">
            <v>450000</v>
          </cell>
          <cell r="L117">
            <v>15000</v>
          </cell>
          <cell r="M117">
            <v>1</v>
          </cell>
          <cell r="N117">
            <v>450000</v>
          </cell>
        </row>
        <row r="118">
          <cell r="A118">
            <v>2003</v>
          </cell>
          <cell r="B118">
            <v>1</v>
          </cell>
          <cell r="C118">
            <v>1</v>
          </cell>
          <cell r="D118">
            <v>179</v>
          </cell>
          <cell r="E118">
            <v>2</v>
          </cell>
          <cell r="F118" t="str">
            <v>TJS</v>
          </cell>
          <cell r="G118">
            <v>30</v>
          </cell>
          <cell r="H118">
            <v>2500</v>
          </cell>
          <cell r="I118">
            <v>1</v>
          </cell>
          <cell r="J118" t="str">
            <v>ТАК ПСБ "Ориёнбанк"</v>
          </cell>
          <cell r="K118">
            <v>75000</v>
          </cell>
          <cell r="L118">
            <v>2500</v>
          </cell>
          <cell r="M118">
            <v>1</v>
          </cell>
          <cell r="N118">
            <v>75000</v>
          </cell>
        </row>
        <row r="119">
          <cell r="A119">
            <v>2003</v>
          </cell>
          <cell r="B119">
            <v>1</v>
          </cell>
          <cell r="C119">
            <v>1</v>
          </cell>
          <cell r="D119">
            <v>177</v>
          </cell>
          <cell r="E119">
            <v>2</v>
          </cell>
          <cell r="F119" t="str">
            <v>TJS</v>
          </cell>
          <cell r="G119">
            <v>30</v>
          </cell>
          <cell r="H119">
            <v>10000</v>
          </cell>
          <cell r="I119">
            <v>4</v>
          </cell>
          <cell r="J119" t="str">
            <v>ТАК ПСБ "Ориёнбанк"</v>
          </cell>
          <cell r="K119">
            <v>300000</v>
          </cell>
          <cell r="L119">
            <v>10000</v>
          </cell>
          <cell r="M119">
            <v>1</v>
          </cell>
          <cell r="N119">
            <v>300000</v>
          </cell>
        </row>
        <row r="120">
          <cell r="A120">
            <v>2003</v>
          </cell>
          <cell r="B120">
            <v>1</v>
          </cell>
          <cell r="C120">
            <v>1</v>
          </cell>
          <cell r="D120">
            <v>176</v>
          </cell>
          <cell r="E120">
            <v>2</v>
          </cell>
          <cell r="F120" t="str">
            <v>TJS</v>
          </cell>
          <cell r="G120">
            <v>30</v>
          </cell>
          <cell r="H120">
            <v>3300</v>
          </cell>
          <cell r="I120">
            <v>2</v>
          </cell>
          <cell r="J120" t="str">
            <v>ТАК ПСБ "Ориёнбанк"</v>
          </cell>
          <cell r="K120">
            <v>99000</v>
          </cell>
          <cell r="L120">
            <v>3300</v>
          </cell>
          <cell r="M120">
            <v>1</v>
          </cell>
          <cell r="N120">
            <v>99000</v>
          </cell>
        </row>
        <row r="121">
          <cell r="A121">
            <v>2003</v>
          </cell>
          <cell r="B121">
            <v>1</v>
          </cell>
          <cell r="C121">
            <v>1</v>
          </cell>
          <cell r="D121">
            <v>322</v>
          </cell>
          <cell r="E121">
            <v>1</v>
          </cell>
          <cell r="F121" t="str">
            <v>TJS</v>
          </cell>
          <cell r="G121">
            <v>36</v>
          </cell>
          <cell r="H121">
            <v>40000</v>
          </cell>
          <cell r="I121">
            <v>1</v>
          </cell>
          <cell r="J121" t="str">
            <v>ТАК ПСБ "Ориёнбанк"</v>
          </cell>
          <cell r="K121">
            <v>1440000</v>
          </cell>
          <cell r="L121">
            <v>40000</v>
          </cell>
          <cell r="M121">
            <v>1</v>
          </cell>
          <cell r="N121">
            <v>1440000</v>
          </cell>
        </row>
        <row r="122">
          <cell r="A122">
            <v>2003</v>
          </cell>
          <cell r="B122">
            <v>1</v>
          </cell>
          <cell r="C122">
            <v>1</v>
          </cell>
          <cell r="D122">
            <v>240</v>
          </cell>
          <cell r="E122">
            <v>2</v>
          </cell>
          <cell r="F122" t="str">
            <v>TJS</v>
          </cell>
          <cell r="G122">
            <v>28</v>
          </cell>
          <cell r="H122">
            <v>25000</v>
          </cell>
          <cell r="I122">
            <v>1</v>
          </cell>
          <cell r="J122" t="str">
            <v>ТАК ПСБ "Ориёнбанк"</v>
          </cell>
          <cell r="K122">
            <v>700000</v>
          </cell>
          <cell r="L122">
            <v>25000</v>
          </cell>
          <cell r="M122">
            <v>1</v>
          </cell>
          <cell r="N122">
            <v>700000</v>
          </cell>
        </row>
        <row r="123">
          <cell r="A123">
            <v>2003</v>
          </cell>
          <cell r="B123">
            <v>1</v>
          </cell>
          <cell r="C123">
            <v>5</v>
          </cell>
          <cell r="D123">
            <v>72</v>
          </cell>
          <cell r="E123">
            <v>1</v>
          </cell>
          <cell r="F123" t="str">
            <v>TJS</v>
          </cell>
          <cell r="G123">
            <v>29</v>
          </cell>
          <cell r="H123">
            <v>150000</v>
          </cell>
          <cell r="I123">
            <v>2</v>
          </cell>
          <cell r="J123" t="str">
            <v>ТАК ПСБ "Ориёнбанк"</v>
          </cell>
          <cell r="K123">
            <v>4350000</v>
          </cell>
          <cell r="L123">
            <v>150000</v>
          </cell>
          <cell r="M123">
            <v>1</v>
          </cell>
          <cell r="N123">
            <v>4350000</v>
          </cell>
        </row>
        <row r="124">
          <cell r="A124">
            <v>2003</v>
          </cell>
          <cell r="B124">
            <v>1</v>
          </cell>
          <cell r="C124">
            <v>1</v>
          </cell>
          <cell r="D124">
            <v>5</v>
          </cell>
          <cell r="E124">
            <v>1</v>
          </cell>
          <cell r="F124" t="str">
            <v>TJS</v>
          </cell>
          <cell r="G124">
            <v>36</v>
          </cell>
          <cell r="H124">
            <v>15000</v>
          </cell>
          <cell r="I124">
            <v>1</v>
          </cell>
          <cell r="J124" t="str">
            <v>ТАК ПСБ "Ориёнбанк"</v>
          </cell>
          <cell r="K124">
            <v>540000</v>
          </cell>
          <cell r="L124">
            <v>15000</v>
          </cell>
          <cell r="M124">
            <v>1</v>
          </cell>
          <cell r="N124">
            <v>540000</v>
          </cell>
        </row>
        <row r="125">
          <cell r="A125">
            <v>2003</v>
          </cell>
          <cell r="B125">
            <v>1</v>
          </cell>
          <cell r="C125">
            <v>1</v>
          </cell>
          <cell r="D125">
            <v>8</v>
          </cell>
          <cell r="E125">
            <v>0</v>
          </cell>
          <cell r="F125" t="str">
            <v>TJS</v>
          </cell>
          <cell r="G125">
            <v>24</v>
          </cell>
          <cell r="H125">
            <v>50000</v>
          </cell>
          <cell r="I125">
            <v>1</v>
          </cell>
          <cell r="J125" t="str">
            <v>ТАК ПСБ "Ориёнбанк"</v>
          </cell>
          <cell r="K125">
            <v>1200000</v>
          </cell>
          <cell r="L125">
            <v>50000</v>
          </cell>
          <cell r="M125">
            <v>1</v>
          </cell>
          <cell r="N125">
            <v>1200000</v>
          </cell>
        </row>
        <row r="126">
          <cell r="A126">
            <v>2003</v>
          </cell>
          <cell r="B126">
            <v>1</v>
          </cell>
          <cell r="C126">
            <v>1</v>
          </cell>
          <cell r="D126">
            <v>180</v>
          </cell>
          <cell r="E126">
            <v>2</v>
          </cell>
          <cell r="F126" t="str">
            <v>USD</v>
          </cell>
          <cell r="G126">
            <v>16</v>
          </cell>
          <cell r="H126">
            <v>1214</v>
          </cell>
          <cell r="I126">
            <v>1</v>
          </cell>
          <cell r="J126" t="str">
            <v>ТАК ПСБ "Ориёнбанк"</v>
          </cell>
          <cell r="K126">
            <v>19424</v>
          </cell>
          <cell r="L126">
            <v>1212.2029605263156</v>
          </cell>
          <cell r="M126">
            <v>0.9985197368421052</v>
          </cell>
          <cell r="N126">
            <v>19395.24736842105</v>
          </cell>
        </row>
        <row r="127">
          <cell r="A127">
            <v>2003</v>
          </cell>
          <cell r="B127">
            <v>1</v>
          </cell>
          <cell r="C127">
            <v>1</v>
          </cell>
          <cell r="D127">
            <v>180</v>
          </cell>
          <cell r="E127">
            <v>1</v>
          </cell>
          <cell r="F127" t="str">
            <v>TJS</v>
          </cell>
          <cell r="G127">
            <v>36</v>
          </cell>
          <cell r="H127">
            <v>63000</v>
          </cell>
          <cell r="I127">
            <v>1</v>
          </cell>
          <cell r="J127" t="str">
            <v>СТК "Центрально-Азиатский банк"</v>
          </cell>
          <cell r="K127">
            <v>2268000</v>
          </cell>
          <cell r="L127">
            <v>63000</v>
          </cell>
          <cell r="M127">
            <v>1</v>
          </cell>
          <cell r="N127">
            <v>2268000</v>
          </cell>
        </row>
        <row r="128">
          <cell r="A128">
            <v>2003</v>
          </cell>
          <cell r="B128">
            <v>1</v>
          </cell>
          <cell r="C128">
            <v>1</v>
          </cell>
          <cell r="D128">
            <v>180</v>
          </cell>
          <cell r="E128">
            <v>2</v>
          </cell>
          <cell r="F128" t="str">
            <v>TJS</v>
          </cell>
          <cell r="G128">
            <v>0</v>
          </cell>
          <cell r="H128">
            <v>300</v>
          </cell>
          <cell r="I128">
            <v>1</v>
          </cell>
          <cell r="J128" t="str">
            <v>СТК "Центрально-Азиатский банк"</v>
          </cell>
          <cell r="K128">
            <v>0</v>
          </cell>
          <cell r="L128">
            <v>300</v>
          </cell>
          <cell r="M128">
            <v>1</v>
          </cell>
          <cell r="N128">
            <v>0</v>
          </cell>
        </row>
        <row r="129">
          <cell r="A129">
            <v>2003</v>
          </cell>
          <cell r="B129">
            <v>1</v>
          </cell>
          <cell r="C129">
            <v>1</v>
          </cell>
          <cell r="D129">
            <v>90</v>
          </cell>
          <cell r="E129">
            <v>2</v>
          </cell>
          <cell r="F129" t="str">
            <v>TJS</v>
          </cell>
          <cell r="G129">
            <v>0</v>
          </cell>
          <cell r="H129">
            <v>50</v>
          </cell>
          <cell r="I129">
            <v>1</v>
          </cell>
          <cell r="J129" t="str">
            <v>СТК "Центрально-Азиатский банк"</v>
          </cell>
          <cell r="K129">
            <v>0</v>
          </cell>
          <cell r="L129">
            <v>50</v>
          </cell>
          <cell r="M129">
            <v>1</v>
          </cell>
          <cell r="N129">
            <v>0</v>
          </cell>
        </row>
        <row r="130">
          <cell r="A130">
            <v>2003</v>
          </cell>
          <cell r="B130">
            <v>1</v>
          </cell>
          <cell r="C130">
            <v>1</v>
          </cell>
          <cell r="D130">
            <v>90</v>
          </cell>
          <cell r="E130">
            <v>2</v>
          </cell>
          <cell r="F130" t="str">
            <v>TJS</v>
          </cell>
          <cell r="G130">
            <v>30</v>
          </cell>
          <cell r="H130">
            <v>100</v>
          </cell>
          <cell r="I130">
            <v>1</v>
          </cell>
          <cell r="J130" t="str">
            <v>АОЗТ"Кафолат"</v>
          </cell>
          <cell r="K130">
            <v>3000</v>
          </cell>
          <cell r="L130">
            <v>100</v>
          </cell>
          <cell r="M130">
            <v>1</v>
          </cell>
          <cell r="N130">
            <v>3000</v>
          </cell>
        </row>
        <row r="131">
          <cell r="A131">
            <v>2003</v>
          </cell>
          <cell r="B131">
            <v>1</v>
          </cell>
          <cell r="C131">
            <v>1</v>
          </cell>
          <cell r="D131">
            <v>360</v>
          </cell>
          <cell r="E131">
            <v>2</v>
          </cell>
          <cell r="F131" t="str">
            <v>TJS</v>
          </cell>
          <cell r="G131">
            <v>12</v>
          </cell>
          <cell r="H131">
            <v>2000</v>
          </cell>
          <cell r="I131">
            <v>1</v>
          </cell>
          <cell r="J131" t="str">
            <v>АОЗТ"Кафолат"</v>
          </cell>
          <cell r="K131">
            <v>24000</v>
          </cell>
          <cell r="L131">
            <v>2000</v>
          </cell>
          <cell r="M131">
            <v>1</v>
          </cell>
          <cell r="N131">
            <v>24000</v>
          </cell>
        </row>
        <row r="132">
          <cell r="A132">
            <v>2003</v>
          </cell>
          <cell r="B132">
            <v>1</v>
          </cell>
          <cell r="C132">
            <v>3</v>
          </cell>
          <cell r="D132">
            <v>180</v>
          </cell>
          <cell r="E132">
            <v>1</v>
          </cell>
          <cell r="F132" t="str">
            <v>TJS</v>
          </cell>
          <cell r="G132">
            <v>12</v>
          </cell>
          <cell r="H132">
            <v>2600</v>
          </cell>
          <cell r="I132">
            <v>1</v>
          </cell>
          <cell r="J132" t="str">
            <v>АОЗТ"Кафолат"</v>
          </cell>
          <cell r="K132">
            <v>31200</v>
          </cell>
          <cell r="L132">
            <v>2600</v>
          </cell>
          <cell r="M132">
            <v>1</v>
          </cell>
          <cell r="N132">
            <v>31200</v>
          </cell>
        </row>
        <row r="133">
          <cell r="A133">
            <v>2003</v>
          </cell>
          <cell r="B133">
            <v>1</v>
          </cell>
          <cell r="C133">
            <v>3</v>
          </cell>
          <cell r="D133">
            <v>150</v>
          </cell>
          <cell r="E133">
            <v>1</v>
          </cell>
          <cell r="F133" t="str">
            <v>TJS</v>
          </cell>
          <cell r="G133">
            <v>12</v>
          </cell>
          <cell r="H133">
            <v>27000</v>
          </cell>
          <cell r="I133">
            <v>1</v>
          </cell>
          <cell r="J133" t="str">
            <v>АОЗТ"Кафолат"</v>
          </cell>
          <cell r="K133">
            <v>324000</v>
          </cell>
          <cell r="L133">
            <v>27000</v>
          </cell>
          <cell r="M133">
            <v>1</v>
          </cell>
          <cell r="N133">
            <v>324000</v>
          </cell>
        </row>
        <row r="134">
          <cell r="A134">
            <v>2003</v>
          </cell>
          <cell r="B134">
            <v>1</v>
          </cell>
          <cell r="C134">
            <v>1</v>
          </cell>
          <cell r="D134">
            <v>180</v>
          </cell>
          <cell r="E134">
            <v>2</v>
          </cell>
          <cell r="F134" t="str">
            <v>TJS</v>
          </cell>
          <cell r="G134">
            <v>24</v>
          </cell>
          <cell r="H134">
            <v>1000</v>
          </cell>
          <cell r="I134">
            <v>1</v>
          </cell>
          <cell r="J134" t="str">
            <v>АОЗТ"Кафолат"</v>
          </cell>
          <cell r="K134">
            <v>24000</v>
          </cell>
          <cell r="L134">
            <v>1000</v>
          </cell>
          <cell r="M134">
            <v>1</v>
          </cell>
          <cell r="N134">
            <v>24000</v>
          </cell>
        </row>
        <row r="135">
          <cell r="A135">
            <v>2003</v>
          </cell>
          <cell r="B135">
            <v>1</v>
          </cell>
          <cell r="C135">
            <v>1</v>
          </cell>
          <cell r="D135">
            <v>90</v>
          </cell>
          <cell r="E135">
            <v>2</v>
          </cell>
          <cell r="F135" t="str">
            <v>TJS</v>
          </cell>
          <cell r="G135">
            <v>60</v>
          </cell>
          <cell r="H135">
            <v>31500</v>
          </cell>
          <cell r="I135">
            <v>1</v>
          </cell>
          <cell r="J135" t="str">
            <v>АОЗТ"Кафолат"</v>
          </cell>
          <cell r="K135">
            <v>1890000</v>
          </cell>
          <cell r="L135">
            <v>31500</v>
          </cell>
          <cell r="M135">
            <v>1</v>
          </cell>
          <cell r="N135">
            <v>1890000</v>
          </cell>
        </row>
        <row r="136">
          <cell r="A136">
            <v>2003</v>
          </cell>
          <cell r="B136">
            <v>1</v>
          </cell>
          <cell r="C136">
            <v>1</v>
          </cell>
          <cell r="D136">
            <v>180</v>
          </cell>
          <cell r="E136">
            <v>2</v>
          </cell>
          <cell r="F136" t="str">
            <v>USD</v>
          </cell>
          <cell r="G136">
            <v>36</v>
          </cell>
          <cell r="H136">
            <v>21248</v>
          </cell>
          <cell r="I136">
            <v>2</v>
          </cell>
          <cell r="J136" t="str">
            <v>АОЗТ"Кафолат"</v>
          </cell>
          <cell r="K136">
            <v>764928</v>
          </cell>
          <cell r="L136">
            <v>21216.547368421052</v>
          </cell>
          <cell r="M136">
            <v>0.9985197368421052</v>
          </cell>
          <cell r="N136">
            <v>763795.7052631578</v>
          </cell>
        </row>
        <row r="137">
          <cell r="A137">
            <v>2003</v>
          </cell>
          <cell r="B137">
            <v>1</v>
          </cell>
          <cell r="C137">
            <v>1</v>
          </cell>
          <cell r="D137">
            <v>180</v>
          </cell>
          <cell r="E137">
            <v>2</v>
          </cell>
          <cell r="F137" t="str">
            <v>USD</v>
          </cell>
          <cell r="G137">
            <v>30</v>
          </cell>
          <cell r="H137">
            <v>9106</v>
          </cell>
          <cell r="I137">
            <v>1</v>
          </cell>
          <cell r="J137" t="str">
            <v>АОЗТ"Кафолат"</v>
          </cell>
          <cell r="K137">
            <v>273180</v>
          </cell>
          <cell r="L137">
            <v>9092.520723684209</v>
          </cell>
          <cell r="M137">
            <v>0.9985197368421052</v>
          </cell>
          <cell r="N137">
            <v>272775.6217105263</v>
          </cell>
        </row>
        <row r="138">
          <cell r="A138">
            <v>2003</v>
          </cell>
          <cell r="B138">
            <v>1</v>
          </cell>
          <cell r="C138">
            <v>1</v>
          </cell>
          <cell r="D138">
            <v>180</v>
          </cell>
          <cell r="E138">
            <v>2</v>
          </cell>
          <cell r="F138" t="str">
            <v>USD</v>
          </cell>
          <cell r="G138">
            <v>24</v>
          </cell>
          <cell r="H138">
            <v>15177</v>
          </cell>
          <cell r="I138">
            <v>1</v>
          </cell>
          <cell r="J138" t="str">
            <v>АОЗТ"Кафолат"</v>
          </cell>
          <cell r="K138">
            <v>364248</v>
          </cell>
          <cell r="L138">
            <v>15154.53404605263</v>
          </cell>
          <cell r="M138">
            <v>0.9985197368421052</v>
          </cell>
          <cell r="N138">
            <v>363708.8171052631</v>
          </cell>
        </row>
        <row r="139">
          <cell r="A139">
            <v>2003</v>
          </cell>
          <cell r="B139">
            <v>1</v>
          </cell>
          <cell r="C139">
            <v>1</v>
          </cell>
          <cell r="D139">
            <v>90</v>
          </cell>
          <cell r="E139">
            <v>2</v>
          </cell>
          <cell r="F139" t="str">
            <v>USD</v>
          </cell>
          <cell r="G139">
            <v>36</v>
          </cell>
          <cell r="H139">
            <v>1062</v>
          </cell>
          <cell r="I139">
            <v>1</v>
          </cell>
          <cell r="J139" t="str">
            <v>АОЗТ"Кафолат"</v>
          </cell>
          <cell r="K139">
            <v>38232</v>
          </cell>
          <cell r="L139">
            <v>1060.4279605263157</v>
          </cell>
          <cell r="M139">
            <v>0.9985197368421052</v>
          </cell>
          <cell r="N139">
            <v>38175.40657894736</v>
          </cell>
        </row>
        <row r="140">
          <cell r="A140">
            <v>2003</v>
          </cell>
          <cell r="B140">
            <v>1</v>
          </cell>
          <cell r="C140">
            <v>1</v>
          </cell>
          <cell r="D140">
            <v>90</v>
          </cell>
          <cell r="E140">
            <v>2</v>
          </cell>
          <cell r="F140" t="str">
            <v>USD</v>
          </cell>
          <cell r="G140">
            <v>30</v>
          </cell>
          <cell r="H140">
            <v>910</v>
          </cell>
          <cell r="I140">
            <v>1</v>
          </cell>
          <cell r="J140" t="str">
            <v>АОЗТ"Кафолат"</v>
          </cell>
          <cell r="K140">
            <v>27300</v>
          </cell>
          <cell r="L140">
            <v>908.6529605263157</v>
          </cell>
          <cell r="M140">
            <v>0.9985197368421052</v>
          </cell>
          <cell r="N140">
            <v>27259.58881578947</v>
          </cell>
        </row>
        <row r="141">
          <cell r="A141">
            <v>2003</v>
          </cell>
          <cell r="B141">
            <v>1</v>
          </cell>
          <cell r="C141">
            <v>1</v>
          </cell>
          <cell r="D141">
            <v>180</v>
          </cell>
          <cell r="E141">
            <v>1</v>
          </cell>
          <cell r="F141" t="str">
            <v>USD</v>
          </cell>
          <cell r="G141">
            <v>36</v>
          </cell>
          <cell r="H141">
            <v>6766</v>
          </cell>
          <cell r="I141">
            <v>1</v>
          </cell>
          <cell r="J141" t="str">
            <v>АОЗТ"Кафолат"</v>
          </cell>
          <cell r="K141">
            <v>243576</v>
          </cell>
          <cell r="L141">
            <v>6755.984539473683</v>
          </cell>
          <cell r="M141">
            <v>0.9985197368421052</v>
          </cell>
          <cell r="N141">
            <v>243215.4434210526</v>
          </cell>
        </row>
        <row r="142">
          <cell r="A142">
            <v>2003</v>
          </cell>
          <cell r="B142">
            <v>1</v>
          </cell>
          <cell r="C142">
            <v>1</v>
          </cell>
          <cell r="D142">
            <v>60</v>
          </cell>
          <cell r="E142">
            <v>1</v>
          </cell>
          <cell r="F142" t="str">
            <v>USD</v>
          </cell>
          <cell r="G142">
            <v>36</v>
          </cell>
          <cell r="H142">
            <v>2428</v>
          </cell>
          <cell r="I142">
            <v>1</v>
          </cell>
          <cell r="J142" t="str">
            <v>АОЗТ"Кафолат"</v>
          </cell>
          <cell r="K142">
            <v>87408</v>
          </cell>
          <cell r="L142">
            <v>2424.405921052631</v>
          </cell>
          <cell r="M142">
            <v>0.9985197368421052</v>
          </cell>
          <cell r="N142">
            <v>87278.61315789472</v>
          </cell>
        </row>
        <row r="143">
          <cell r="A143">
            <v>2003</v>
          </cell>
          <cell r="B143">
            <v>1</v>
          </cell>
          <cell r="C143">
            <v>1</v>
          </cell>
          <cell r="D143">
            <v>90</v>
          </cell>
          <cell r="E143">
            <v>1</v>
          </cell>
          <cell r="F143" t="str">
            <v>TJS</v>
          </cell>
          <cell r="G143">
            <v>12</v>
          </cell>
          <cell r="H143">
            <v>410000</v>
          </cell>
          <cell r="I143">
            <v>2</v>
          </cell>
          <cell r="J143" t="str">
            <v>СЛТ АКБ "Ист-Кредитбанк"</v>
          </cell>
          <cell r="K143">
            <v>4920000</v>
          </cell>
          <cell r="L143">
            <v>410000</v>
          </cell>
          <cell r="M143">
            <v>1</v>
          </cell>
          <cell r="N143">
            <v>4920000</v>
          </cell>
        </row>
        <row r="144">
          <cell r="A144">
            <v>2003</v>
          </cell>
          <cell r="B144">
            <v>1</v>
          </cell>
          <cell r="C144">
            <v>1</v>
          </cell>
          <cell r="D144">
            <v>180</v>
          </cell>
          <cell r="E144">
            <v>2</v>
          </cell>
          <cell r="F144" t="str">
            <v>TJS</v>
          </cell>
          <cell r="G144">
            <v>36</v>
          </cell>
          <cell r="H144">
            <v>21000</v>
          </cell>
          <cell r="I144">
            <v>1</v>
          </cell>
          <cell r="J144" t="str">
            <v>АОЗТ "Олимп"</v>
          </cell>
          <cell r="K144">
            <v>756000</v>
          </cell>
          <cell r="L144">
            <v>21000</v>
          </cell>
          <cell r="M144">
            <v>1</v>
          </cell>
          <cell r="N144">
            <v>756000</v>
          </cell>
        </row>
        <row r="145">
          <cell r="A145">
            <v>2003</v>
          </cell>
          <cell r="B145">
            <v>1</v>
          </cell>
          <cell r="C145">
            <v>1</v>
          </cell>
          <cell r="D145">
            <v>180</v>
          </cell>
          <cell r="E145">
            <v>2</v>
          </cell>
          <cell r="F145" t="str">
            <v>USD</v>
          </cell>
          <cell r="G145">
            <v>30</v>
          </cell>
          <cell r="H145">
            <v>20031</v>
          </cell>
          <cell r="I145">
            <v>2</v>
          </cell>
          <cell r="J145" t="str">
            <v>АОЗТ "Олимп"</v>
          </cell>
          <cell r="K145">
            <v>600930</v>
          </cell>
          <cell r="L145">
            <v>20001.348848684207</v>
          </cell>
          <cell r="M145">
            <v>0.9985197368421052</v>
          </cell>
          <cell r="N145">
            <v>600040.4654605263</v>
          </cell>
        </row>
        <row r="146">
          <cell r="A146">
            <v>2003</v>
          </cell>
          <cell r="B146">
            <v>1</v>
          </cell>
          <cell r="C146">
            <v>1</v>
          </cell>
          <cell r="D146">
            <v>180</v>
          </cell>
          <cell r="E146">
            <v>2</v>
          </cell>
          <cell r="F146" t="str">
            <v>USD</v>
          </cell>
          <cell r="G146">
            <v>36</v>
          </cell>
          <cell r="H146">
            <v>9408</v>
          </cell>
          <cell r="I146">
            <v>1</v>
          </cell>
          <cell r="J146" t="str">
            <v>АОЗТ "Олимп"</v>
          </cell>
          <cell r="K146">
            <v>338688</v>
          </cell>
          <cell r="L146">
            <v>9394.073684210525</v>
          </cell>
          <cell r="M146">
            <v>0.9985197368421052</v>
          </cell>
          <cell r="N146">
            <v>338186.6526315789</v>
          </cell>
        </row>
        <row r="147">
          <cell r="A147">
            <v>2003</v>
          </cell>
          <cell r="B147">
            <v>1</v>
          </cell>
          <cell r="C147">
            <v>1</v>
          </cell>
          <cell r="D147">
            <v>360</v>
          </cell>
          <cell r="E147">
            <v>2</v>
          </cell>
          <cell r="F147" t="str">
            <v>USD</v>
          </cell>
          <cell r="G147">
            <v>30</v>
          </cell>
          <cell r="H147">
            <v>45525</v>
          </cell>
          <cell r="I147">
            <v>1</v>
          </cell>
          <cell r="J147" t="str">
            <v>АОЗТ "Олимп"</v>
          </cell>
          <cell r="K147">
            <v>1365750</v>
          </cell>
          <cell r="L147">
            <v>45457.61101973684</v>
          </cell>
          <cell r="M147">
            <v>0.9985197368421052</v>
          </cell>
          <cell r="N147">
            <v>1363728.3305921052</v>
          </cell>
        </row>
        <row r="148">
          <cell r="A148">
            <v>2003</v>
          </cell>
          <cell r="B148">
            <v>1</v>
          </cell>
          <cell r="C148">
            <v>1</v>
          </cell>
          <cell r="D148">
            <v>60</v>
          </cell>
          <cell r="E148">
            <v>1</v>
          </cell>
          <cell r="F148" t="str">
            <v>TJS</v>
          </cell>
          <cell r="G148">
            <v>12</v>
          </cell>
          <cell r="H148">
            <v>11077301</v>
          </cell>
          <cell r="I148">
            <v>1</v>
          </cell>
          <cell r="J148" t="str">
            <v>ТАК ПБРР "Таджпромбанк"</v>
          </cell>
          <cell r="K148">
            <v>132927612</v>
          </cell>
          <cell r="L148">
            <v>11077301</v>
          </cell>
          <cell r="M148">
            <v>1</v>
          </cell>
          <cell r="N148">
            <v>132927612</v>
          </cell>
        </row>
        <row r="149">
          <cell r="A149">
            <v>2003</v>
          </cell>
          <cell r="B149">
            <v>1</v>
          </cell>
          <cell r="C149">
            <v>1</v>
          </cell>
          <cell r="D149">
            <v>90</v>
          </cell>
          <cell r="E149">
            <v>1</v>
          </cell>
          <cell r="F149" t="str">
            <v>TJS</v>
          </cell>
          <cell r="G149">
            <v>24</v>
          </cell>
          <cell r="H149">
            <v>600000</v>
          </cell>
          <cell r="I149">
            <v>1</v>
          </cell>
          <cell r="J149" t="str">
            <v>ТАК ПБРР "Таджпромбанк"</v>
          </cell>
          <cell r="K149">
            <v>14400000</v>
          </cell>
          <cell r="L149">
            <v>600000</v>
          </cell>
          <cell r="M149">
            <v>1</v>
          </cell>
          <cell r="N149">
            <v>14400000</v>
          </cell>
        </row>
        <row r="150">
          <cell r="A150">
            <v>2003</v>
          </cell>
          <cell r="B150">
            <v>1</v>
          </cell>
          <cell r="C150">
            <v>1</v>
          </cell>
          <cell r="D150">
            <v>30</v>
          </cell>
          <cell r="E150">
            <v>1</v>
          </cell>
          <cell r="F150" t="str">
            <v>TJS</v>
          </cell>
          <cell r="G150">
            <v>21</v>
          </cell>
          <cell r="H150">
            <v>20000</v>
          </cell>
          <cell r="I150">
            <v>1</v>
          </cell>
          <cell r="J150" t="str">
            <v>ТАК ПБРР "Таджпромбанк"</v>
          </cell>
          <cell r="K150">
            <v>420000</v>
          </cell>
          <cell r="L150">
            <v>20000</v>
          </cell>
          <cell r="M150">
            <v>1</v>
          </cell>
          <cell r="N150">
            <v>420000</v>
          </cell>
        </row>
        <row r="151">
          <cell r="A151">
            <v>2003</v>
          </cell>
          <cell r="B151">
            <v>1</v>
          </cell>
          <cell r="C151">
            <v>1</v>
          </cell>
          <cell r="D151">
            <v>60</v>
          </cell>
          <cell r="E151">
            <v>1</v>
          </cell>
          <cell r="F151" t="str">
            <v>USD</v>
          </cell>
          <cell r="G151">
            <v>12</v>
          </cell>
          <cell r="H151">
            <v>7592484</v>
          </cell>
          <cell r="I151">
            <v>1</v>
          </cell>
          <cell r="J151" t="str">
            <v>ТАК ПБРР "Таджпромбанк"</v>
          </cell>
          <cell r="K151">
            <v>91109808</v>
          </cell>
          <cell r="L151">
            <v>7581245.125657894</v>
          </cell>
          <cell r="M151">
            <v>0.9985197368421052</v>
          </cell>
          <cell r="N151">
            <v>90974941.50789472</v>
          </cell>
        </row>
        <row r="152">
          <cell r="A152">
            <v>2003</v>
          </cell>
          <cell r="B152">
            <v>1</v>
          </cell>
          <cell r="C152">
            <v>1</v>
          </cell>
          <cell r="D152">
            <v>55</v>
          </cell>
          <cell r="E152">
            <v>1</v>
          </cell>
          <cell r="F152" t="str">
            <v>TJS</v>
          </cell>
          <cell r="G152">
            <v>22</v>
          </cell>
          <cell r="H152">
            <v>10000</v>
          </cell>
          <cell r="I152">
            <v>1</v>
          </cell>
          <cell r="J152" t="str">
            <v>АКБ "Ганчина"</v>
          </cell>
          <cell r="K152">
            <v>220000</v>
          </cell>
          <cell r="L152">
            <v>10000</v>
          </cell>
          <cell r="M152">
            <v>1</v>
          </cell>
          <cell r="N152">
            <v>220000</v>
          </cell>
        </row>
        <row r="153">
          <cell r="A153">
            <v>2003</v>
          </cell>
          <cell r="B153">
            <v>1</v>
          </cell>
          <cell r="C153">
            <v>1</v>
          </cell>
          <cell r="D153">
            <v>330</v>
          </cell>
          <cell r="E153">
            <v>2</v>
          </cell>
          <cell r="F153" t="str">
            <v>TJS</v>
          </cell>
          <cell r="G153">
            <v>48</v>
          </cell>
          <cell r="H153">
            <v>4000</v>
          </cell>
          <cell r="I153">
            <v>2</v>
          </cell>
          <cell r="J153" t="str">
            <v>КТОО "Дехкон"</v>
          </cell>
          <cell r="K153">
            <v>192000</v>
          </cell>
          <cell r="L153">
            <v>4000</v>
          </cell>
          <cell r="M153">
            <v>1</v>
          </cell>
          <cell r="N153">
            <v>192000</v>
          </cell>
        </row>
        <row r="154">
          <cell r="A154">
            <v>2003</v>
          </cell>
          <cell r="B154">
            <v>1</v>
          </cell>
          <cell r="C154">
            <v>1</v>
          </cell>
          <cell r="D154">
            <v>360</v>
          </cell>
          <cell r="E154">
            <v>1</v>
          </cell>
          <cell r="F154" t="str">
            <v>TJS</v>
          </cell>
          <cell r="G154">
            <v>22</v>
          </cell>
          <cell r="H154">
            <v>20000</v>
          </cell>
          <cell r="I154">
            <v>1</v>
          </cell>
          <cell r="J154" t="str">
            <v>АКБ  СП "Сохибкорбанк"</v>
          </cell>
          <cell r="K154">
            <v>440000</v>
          </cell>
          <cell r="L154">
            <v>20000</v>
          </cell>
          <cell r="M154">
            <v>1</v>
          </cell>
          <cell r="N154">
            <v>440000</v>
          </cell>
        </row>
        <row r="155">
          <cell r="A155">
            <v>2003</v>
          </cell>
          <cell r="B155">
            <v>1</v>
          </cell>
          <cell r="C155">
            <v>1</v>
          </cell>
          <cell r="D155">
            <v>30</v>
          </cell>
          <cell r="E155">
            <v>1</v>
          </cell>
          <cell r="F155" t="str">
            <v>TJS</v>
          </cell>
          <cell r="G155">
            <v>20</v>
          </cell>
          <cell r="H155">
            <v>10000</v>
          </cell>
          <cell r="I155">
            <v>1</v>
          </cell>
          <cell r="J155" t="str">
            <v>АКБ  СП "Сохибкорбанк"</v>
          </cell>
          <cell r="K155">
            <v>200000</v>
          </cell>
          <cell r="L155">
            <v>10000</v>
          </cell>
          <cell r="M155">
            <v>1</v>
          </cell>
          <cell r="N155">
            <v>200000</v>
          </cell>
        </row>
        <row r="156">
          <cell r="A156">
            <v>2003</v>
          </cell>
          <cell r="B156">
            <v>2</v>
          </cell>
          <cell r="C156">
            <v>1</v>
          </cell>
          <cell r="D156">
            <v>24</v>
          </cell>
          <cell r="E156">
            <v>1</v>
          </cell>
          <cell r="F156" t="str">
            <v>TJS</v>
          </cell>
          <cell r="G156">
            <v>45</v>
          </cell>
          <cell r="H156">
            <v>3000</v>
          </cell>
          <cell r="I156">
            <v>1</v>
          </cell>
          <cell r="J156" t="str">
            <v>АК АПИБ "Агроинвестбанк"</v>
          </cell>
          <cell r="K156">
            <v>135000</v>
          </cell>
          <cell r="L156">
            <v>3000</v>
          </cell>
          <cell r="M156">
            <v>1</v>
          </cell>
          <cell r="N156">
            <v>135000</v>
          </cell>
        </row>
        <row r="157">
          <cell r="A157">
            <v>2003</v>
          </cell>
          <cell r="B157">
            <v>2</v>
          </cell>
          <cell r="C157">
            <v>1</v>
          </cell>
          <cell r="D157">
            <v>56</v>
          </cell>
          <cell r="E157">
            <v>1</v>
          </cell>
          <cell r="F157" t="str">
            <v>TJS</v>
          </cell>
          <cell r="G157">
            <v>30</v>
          </cell>
          <cell r="H157">
            <v>3000</v>
          </cell>
          <cell r="I157">
            <v>1</v>
          </cell>
          <cell r="J157" t="str">
            <v>АК АПИБ "Агроинвестбанк"</v>
          </cell>
          <cell r="K157">
            <v>90000</v>
          </cell>
          <cell r="L157">
            <v>3000</v>
          </cell>
          <cell r="M157">
            <v>1</v>
          </cell>
          <cell r="N157">
            <v>90000</v>
          </cell>
        </row>
        <row r="158">
          <cell r="A158">
            <v>2003</v>
          </cell>
          <cell r="B158">
            <v>2</v>
          </cell>
          <cell r="C158">
            <v>1</v>
          </cell>
          <cell r="D158">
            <v>78</v>
          </cell>
          <cell r="E158">
            <v>1</v>
          </cell>
          <cell r="F158" t="str">
            <v>TJS</v>
          </cell>
          <cell r="G158">
            <v>30</v>
          </cell>
          <cell r="H158">
            <v>3000</v>
          </cell>
          <cell r="I158">
            <v>1</v>
          </cell>
          <cell r="J158" t="str">
            <v>АК АПИБ "Агроинвестбанк"</v>
          </cell>
          <cell r="K158">
            <v>90000</v>
          </cell>
          <cell r="L158">
            <v>3000</v>
          </cell>
          <cell r="M158">
            <v>1</v>
          </cell>
          <cell r="N158">
            <v>90000</v>
          </cell>
        </row>
        <row r="159">
          <cell r="A159">
            <v>2003</v>
          </cell>
          <cell r="B159">
            <v>2</v>
          </cell>
          <cell r="C159">
            <v>1</v>
          </cell>
          <cell r="D159">
            <v>90</v>
          </cell>
          <cell r="E159">
            <v>1</v>
          </cell>
          <cell r="F159" t="str">
            <v>TJS</v>
          </cell>
          <cell r="G159">
            <v>30</v>
          </cell>
          <cell r="H159">
            <v>1500</v>
          </cell>
          <cell r="I159">
            <v>1</v>
          </cell>
          <cell r="J159" t="str">
            <v>АК АПИБ "Агроинвестбанк"</v>
          </cell>
          <cell r="K159">
            <v>45000</v>
          </cell>
          <cell r="L159">
            <v>1500</v>
          </cell>
          <cell r="M159">
            <v>1</v>
          </cell>
          <cell r="N159">
            <v>45000</v>
          </cell>
        </row>
        <row r="160">
          <cell r="A160">
            <v>2003</v>
          </cell>
          <cell r="B160">
            <v>2</v>
          </cell>
          <cell r="C160">
            <v>1</v>
          </cell>
          <cell r="D160">
            <v>136</v>
          </cell>
          <cell r="E160">
            <v>1</v>
          </cell>
          <cell r="F160" t="str">
            <v>TJS</v>
          </cell>
          <cell r="G160">
            <v>35</v>
          </cell>
          <cell r="H160">
            <v>3000</v>
          </cell>
          <cell r="I160">
            <v>1</v>
          </cell>
          <cell r="J160" t="str">
            <v>АК АПИБ "Агроинвестбанк"</v>
          </cell>
          <cell r="K160">
            <v>105000</v>
          </cell>
          <cell r="L160">
            <v>3000</v>
          </cell>
          <cell r="M160">
            <v>1</v>
          </cell>
          <cell r="N160">
            <v>105000</v>
          </cell>
        </row>
        <row r="161">
          <cell r="A161">
            <v>2003</v>
          </cell>
          <cell r="B161">
            <v>2</v>
          </cell>
          <cell r="C161">
            <v>1</v>
          </cell>
          <cell r="D161">
            <v>182</v>
          </cell>
          <cell r="E161">
            <v>1</v>
          </cell>
          <cell r="F161" t="str">
            <v>TJS</v>
          </cell>
          <cell r="G161">
            <v>33</v>
          </cell>
          <cell r="H161">
            <v>21200</v>
          </cell>
          <cell r="I161">
            <v>8</v>
          </cell>
          <cell r="J161" t="str">
            <v>АК АПИБ "Агроинвестбанк"</v>
          </cell>
          <cell r="K161">
            <v>699600</v>
          </cell>
          <cell r="L161">
            <v>21200</v>
          </cell>
          <cell r="M161">
            <v>1</v>
          </cell>
          <cell r="N161">
            <v>699600</v>
          </cell>
        </row>
        <row r="162">
          <cell r="A162">
            <v>2003</v>
          </cell>
          <cell r="B162">
            <v>2</v>
          </cell>
          <cell r="C162">
            <v>1</v>
          </cell>
          <cell r="D162">
            <v>310</v>
          </cell>
          <cell r="E162">
            <v>1</v>
          </cell>
          <cell r="F162" t="str">
            <v>TJS</v>
          </cell>
          <cell r="G162">
            <v>35</v>
          </cell>
          <cell r="H162">
            <v>3000</v>
          </cell>
          <cell r="I162">
            <v>1</v>
          </cell>
          <cell r="J162" t="str">
            <v>АК АПИБ "Агроинвестбанк"</v>
          </cell>
          <cell r="K162">
            <v>105000</v>
          </cell>
          <cell r="L162">
            <v>3000</v>
          </cell>
          <cell r="M162">
            <v>1</v>
          </cell>
          <cell r="N162">
            <v>105000</v>
          </cell>
        </row>
        <row r="163">
          <cell r="A163">
            <v>2003</v>
          </cell>
          <cell r="B163">
            <v>2</v>
          </cell>
          <cell r="C163">
            <v>2</v>
          </cell>
          <cell r="D163">
            <v>301</v>
          </cell>
          <cell r="E163">
            <v>1</v>
          </cell>
          <cell r="F163" t="str">
            <v>TJS</v>
          </cell>
          <cell r="G163">
            <v>12</v>
          </cell>
          <cell r="H163">
            <v>18755339</v>
          </cell>
          <cell r="I163">
            <v>10</v>
          </cell>
          <cell r="J163" t="str">
            <v>АК АПИБ "Агроинвестбанк"</v>
          </cell>
          <cell r="K163">
            <v>225064068</v>
          </cell>
          <cell r="L163">
            <v>18755339</v>
          </cell>
          <cell r="M163">
            <v>1</v>
          </cell>
          <cell r="N163">
            <v>225064068</v>
          </cell>
        </row>
        <row r="164">
          <cell r="A164">
            <v>2003</v>
          </cell>
          <cell r="B164">
            <v>2</v>
          </cell>
          <cell r="C164">
            <v>1</v>
          </cell>
          <cell r="D164">
            <v>89</v>
          </cell>
          <cell r="E164">
            <v>2</v>
          </cell>
          <cell r="F164" t="str">
            <v>TJS</v>
          </cell>
          <cell r="G164">
            <v>30</v>
          </cell>
          <cell r="H164">
            <v>3700</v>
          </cell>
          <cell r="I164">
            <v>2</v>
          </cell>
          <cell r="J164" t="str">
            <v>АК АПИБ "Агроинвестбанк"</v>
          </cell>
          <cell r="K164">
            <v>111000</v>
          </cell>
          <cell r="L164">
            <v>3700</v>
          </cell>
          <cell r="M164">
            <v>1</v>
          </cell>
          <cell r="N164">
            <v>111000</v>
          </cell>
        </row>
        <row r="165">
          <cell r="A165">
            <v>2003</v>
          </cell>
          <cell r="B165">
            <v>2</v>
          </cell>
          <cell r="C165">
            <v>1</v>
          </cell>
          <cell r="D165">
            <v>90</v>
          </cell>
          <cell r="E165">
            <v>2</v>
          </cell>
          <cell r="F165" t="str">
            <v>TJS</v>
          </cell>
          <cell r="G165">
            <v>30</v>
          </cell>
          <cell r="H165">
            <v>2250</v>
          </cell>
          <cell r="I165">
            <v>1</v>
          </cell>
          <cell r="J165" t="str">
            <v>АК АПИБ "Агроинвестбанк"</v>
          </cell>
          <cell r="K165">
            <v>67500</v>
          </cell>
          <cell r="L165">
            <v>2250</v>
          </cell>
          <cell r="M165">
            <v>1</v>
          </cell>
          <cell r="N165">
            <v>67500</v>
          </cell>
        </row>
        <row r="166">
          <cell r="A166">
            <v>2003</v>
          </cell>
          <cell r="B166">
            <v>2</v>
          </cell>
          <cell r="C166">
            <v>1</v>
          </cell>
          <cell r="D166">
            <v>115</v>
          </cell>
          <cell r="E166">
            <v>2</v>
          </cell>
          <cell r="F166" t="str">
            <v>TJS</v>
          </cell>
          <cell r="G166">
            <v>35</v>
          </cell>
          <cell r="H166">
            <v>1500</v>
          </cell>
          <cell r="I166">
            <v>1</v>
          </cell>
          <cell r="J166" t="str">
            <v>АК АПИБ "Агроинвестбанк"</v>
          </cell>
          <cell r="K166">
            <v>52500</v>
          </cell>
          <cell r="L166">
            <v>1500</v>
          </cell>
          <cell r="M166">
            <v>1</v>
          </cell>
          <cell r="N166">
            <v>52500</v>
          </cell>
        </row>
        <row r="167">
          <cell r="A167">
            <v>2003</v>
          </cell>
          <cell r="B167">
            <v>2</v>
          </cell>
          <cell r="C167">
            <v>1</v>
          </cell>
          <cell r="D167">
            <v>150</v>
          </cell>
          <cell r="E167">
            <v>2</v>
          </cell>
          <cell r="F167" t="str">
            <v>TJS</v>
          </cell>
          <cell r="G167">
            <v>33</v>
          </cell>
          <cell r="H167">
            <v>1000</v>
          </cell>
          <cell r="I167">
            <v>1</v>
          </cell>
          <cell r="J167" t="str">
            <v>АК АПИБ "Агроинвестбанк"</v>
          </cell>
          <cell r="K167">
            <v>33000</v>
          </cell>
          <cell r="L167">
            <v>1000</v>
          </cell>
          <cell r="M167">
            <v>1</v>
          </cell>
          <cell r="N167">
            <v>33000</v>
          </cell>
        </row>
        <row r="168">
          <cell r="A168">
            <v>2003</v>
          </cell>
          <cell r="B168">
            <v>2</v>
          </cell>
          <cell r="C168">
            <v>1</v>
          </cell>
          <cell r="D168">
            <v>167</v>
          </cell>
          <cell r="E168">
            <v>2</v>
          </cell>
          <cell r="F168" t="str">
            <v>TJS</v>
          </cell>
          <cell r="G168">
            <v>33</v>
          </cell>
          <cell r="H168">
            <v>4135</v>
          </cell>
          <cell r="I168">
            <v>2</v>
          </cell>
          <cell r="J168" t="str">
            <v>АК АПИБ "Агроинвестбанк"</v>
          </cell>
          <cell r="K168">
            <v>136455</v>
          </cell>
          <cell r="L168">
            <v>4135</v>
          </cell>
          <cell r="M168">
            <v>1</v>
          </cell>
          <cell r="N168">
            <v>136455</v>
          </cell>
        </row>
        <row r="169">
          <cell r="A169">
            <v>2003</v>
          </cell>
          <cell r="B169">
            <v>2</v>
          </cell>
          <cell r="C169">
            <v>1</v>
          </cell>
          <cell r="D169">
            <v>182</v>
          </cell>
          <cell r="E169">
            <v>2</v>
          </cell>
          <cell r="F169" t="str">
            <v>TJS</v>
          </cell>
          <cell r="G169">
            <v>30</v>
          </cell>
          <cell r="H169">
            <v>11000</v>
          </cell>
          <cell r="I169">
            <v>4</v>
          </cell>
          <cell r="J169" t="str">
            <v>АК АПИБ "Агроинвестбанк"</v>
          </cell>
          <cell r="K169">
            <v>330000</v>
          </cell>
          <cell r="L169">
            <v>11000</v>
          </cell>
          <cell r="M169">
            <v>1</v>
          </cell>
          <cell r="N169">
            <v>330000</v>
          </cell>
        </row>
        <row r="170">
          <cell r="A170">
            <v>2003</v>
          </cell>
          <cell r="B170">
            <v>2</v>
          </cell>
          <cell r="C170">
            <v>1</v>
          </cell>
          <cell r="D170">
            <v>182</v>
          </cell>
          <cell r="E170">
            <v>2</v>
          </cell>
          <cell r="F170" t="str">
            <v>TJS</v>
          </cell>
          <cell r="G170">
            <v>33</v>
          </cell>
          <cell r="H170">
            <v>2500</v>
          </cell>
          <cell r="I170">
            <v>1</v>
          </cell>
          <cell r="J170" t="str">
            <v>АК АПИБ "Агроинвестбанк"</v>
          </cell>
          <cell r="K170">
            <v>82500</v>
          </cell>
          <cell r="L170">
            <v>2500</v>
          </cell>
          <cell r="M170">
            <v>1</v>
          </cell>
          <cell r="N170">
            <v>82500</v>
          </cell>
        </row>
        <row r="171">
          <cell r="A171">
            <v>2003</v>
          </cell>
          <cell r="B171">
            <v>2</v>
          </cell>
          <cell r="C171">
            <v>1</v>
          </cell>
          <cell r="D171">
            <v>183</v>
          </cell>
          <cell r="E171">
            <v>2</v>
          </cell>
          <cell r="F171" t="str">
            <v>TJS</v>
          </cell>
          <cell r="G171">
            <v>36</v>
          </cell>
          <cell r="H171">
            <v>3000</v>
          </cell>
          <cell r="I171">
            <v>1</v>
          </cell>
          <cell r="J171" t="str">
            <v>АК АПИБ "Агроинвестбанк"</v>
          </cell>
          <cell r="K171">
            <v>108000</v>
          </cell>
          <cell r="L171">
            <v>3000</v>
          </cell>
          <cell r="M171">
            <v>1</v>
          </cell>
          <cell r="N171">
            <v>108000</v>
          </cell>
        </row>
        <row r="172">
          <cell r="A172">
            <v>2003</v>
          </cell>
          <cell r="B172">
            <v>2</v>
          </cell>
          <cell r="C172">
            <v>1</v>
          </cell>
          <cell r="D172">
            <v>187</v>
          </cell>
          <cell r="E172">
            <v>2</v>
          </cell>
          <cell r="F172" t="str">
            <v>TJS</v>
          </cell>
          <cell r="G172">
            <v>32</v>
          </cell>
          <cell r="H172">
            <v>3000</v>
          </cell>
          <cell r="I172">
            <v>1</v>
          </cell>
          <cell r="J172" t="str">
            <v>АК АПИБ "Агроинвестбанк"</v>
          </cell>
          <cell r="K172">
            <v>96000</v>
          </cell>
          <cell r="L172">
            <v>3000</v>
          </cell>
          <cell r="M172">
            <v>1</v>
          </cell>
          <cell r="N172">
            <v>96000</v>
          </cell>
        </row>
        <row r="173">
          <cell r="A173">
            <v>2003</v>
          </cell>
          <cell r="B173">
            <v>2</v>
          </cell>
          <cell r="C173">
            <v>1</v>
          </cell>
          <cell r="D173">
            <v>182</v>
          </cell>
          <cell r="E173">
            <v>2</v>
          </cell>
          <cell r="F173" t="str">
            <v>TJS</v>
          </cell>
          <cell r="G173">
            <v>30</v>
          </cell>
          <cell r="H173">
            <v>2600</v>
          </cell>
          <cell r="I173">
            <v>1</v>
          </cell>
          <cell r="J173" t="str">
            <v>АК АПИБ "Агроинвестбанк"</v>
          </cell>
          <cell r="K173">
            <v>78000</v>
          </cell>
          <cell r="L173">
            <v>2600</v>
          </cell>
          <cell r="M173">
            <v>1</v>
          </cell>
          <cell r="N173">
            <v>78000</v>
          </cell>
        </row>
        <row r="174">
          <cell r="A174">
            <v>2003</v>
          </cell>
          <cell r="B174">
            <v>2</v>
          </cell>
          <cell r="C174">
            <v>1</v>
          </cell>
          <cell r="D174">
            <v>304</v>
          </cell>
          <cell r="E174">
            <v>2</v>
          </cell>
          <cell r="F174" t="str">
            <v>TJS</v>
          </cell>
          <cell r="G174">
            <v>20</v>
          </cell>
          <cell r="H174">
            <v>13840</v>
          </cell>
          <cell r="I174">
            <v>8</v>
          </cell>
          <cell r="J174" t="str">
            <v>АК АПИБ "Агроинвестбанк"</v>
          </cell>
          <cell r="K174">
            <v>276800</v>
          </cell>
          <cell r="L174">
            <v>13840</v>
          </cell>
          <cell r="M174">
            <v>1</v>
          </cell>
          <cell r="N174">
            <v>276800</v>
          </cell>
        </row>
        <row r="175">
          <cell r="A175">
            <v>2003</v>
          </cell>
          <cell r="B175">
            <v>2</v>
          </cell>
          <cell r="C175">
            <v>1</v>
          </cell>
          <cell r="D175">
            <v>308</v>
          </cell>
          <cell r="E175">
            <v>2</v>
          </cell>
          <cell r="F175" t="str">
            <v>TJS</v>
          </cell>
          <cell r="G175">
            <v>22</v>
          </cell>
          <cell r="H175">
            <v>620</v>
          </cell>
          <cell r="I175">
            <v>1</v>
          </cell>
          <cell r="J175" t="str">
            <v>АК АПИБ "Агроинвестбанк"</v>
          </cell>
          <cell r="K175">
            <v>13640</v>
          </cell>
          <cell r="L175">
            <v>620</v>
          </cell>
          <cell r="M175">
            <v>1</v>
          </cell>
          <cell r="N175">
            <v>13640</v>
          </cell>
        </row>
        <row r="176">
          <cell r="A176">
            <v>2003</v>
          </cell>
          <cell r="B176">
            <v>2</v>
          </cell>
          <cell r="C176">
            <v>3</v>
          </cell>
          <cell r="D176">
            <v>84</v>
          </cell>
          <cell r="E176">
            <v>1</v>
          </cell>
          <cell r="F176" t="str">
            <v>USD</v>
          </cell>
          <cell r="G176">
            <v>24</v>
          </cell>
          <cell r="H176">
            <v>186841</v>
          </cell>
          <cell r="I176">
            <v>1</v>
          </cell>
          <cell r="J176" t="str">
            <v>АК АПИБ "Агроинвестбанк"</v>
          </cell>
          <cell r="K176">
            <v>4484184</v>
          </cell>
          <cell r="L176">
            <v>188561.90394736844</v>
          </cell>
          <cell r="M176">
            <v>1.0092105263157896</v>
          </cell>
          <cell r="N176">
            <v>4525485.694736842</v>
          </cell>
        </row>
        <row r="177">
          <cell r="A177">
            <v>2003</v>
          </cell>
          <cell r="B177">
            <v>2</v>
          </cell>
          <cell r="C177">
            <v>2</v>
          </cell>
          <cell r="D177">
            <v>300</v>
          </cell>
          <cell r="E177">
            <v>1</v>
          </cell>
          <cell r="F177" t="str">
            <v>USD</v>
          </cell>
          <cell r="G177">
            <v>12</v>
          </cell>
          <cell r="H177">
            <v>395203</v>
          </cell>
          <cell r="I177">
            <v>2</v>
          </cell>
          <cell r="J177" t="str">
            <v>АК АПИБ "Агроинвестбанк"</v>
          </cell>
          <cell r="K177">
            <v>4742436</v>
          </cell>
          <cell r="L177">
            <v>398843.02763157897</v>
          </cell>
          <cell r="M177">
            <v>1.0092105263157896</v>
          </cell>
          <cell r="N177">
            <v>4786116.331578948</v>
          </cell>
        </row>
        <row r="178">
          <cell r="A178">
            <v>2003</v>
          </cell>
          <cell r="B178">
            <v>2</v>
          </cell>
          <cell r="C178">
            <v>2</v>
          </cell>
          <cell r="D178">
            <v>301</v>
          </cell>
          <cell r="E178">
            <v>1</v>
          </cell>
          <cell r="F178" t="str">
            <v>USD</v>
          </cell>
          <cell r="G178">
            <v>12</v>
          </cell>
          <cell r="H178">
            <v>3195427</v>
          </cell>
          <cell r="I178">
            <v>7</v>
          </cell>
          <cell r="J178" t="str">
            <v>АК АПИБ "Агроинвестбанк"</v>
          </cell>
          <cell r="K178">
            <v>38345124</v>
          </cell>
          <cell r="L178">
            <v>3224858.5644736844</v>
          </cell>
          <cell r="M178">
            <v>1.0092105263157896</v>
          </cell>
          <cell r="N178">
            <v>38698302.77368421</v>
          </cell>
        </row>
        <row r="179">
          <cell r="A179">
            <v>2003</v>
          </cell>
          <cell r="B179">
            <v>2</v>
          </cell>
          <cell r="C179">
            <v>2</v>
          </cell>
          <cell r="D179">
            <v>302</v>
          </cell>
          <cell r="E179">
            <v>1</v>
          </cell>
          <cell r="F179" t="str">
            <v>USD</v>
          </cell>
          <cell r="G179">
            <v>12</v>
          </cell>
          <cell r="H179">
            <v>1334820</v>
          </cell>
          <cell r="I179">
            <v>3</v>
          </cell>
          <cell r="J179" t="str">
            <v>АК АПИБ "Агроинвестбанк"</v>
          </cell>
          <cell r="K179">
            <v>16017840</v>
          </cell>
          <cell r="L179">
            <v>1347114.3947368423</v>
          </cell>
          <cell r="M179">
            <v>1.0092105263157896</v>
          </cell>
          <cell r="N179">
            <v>16165372.736842107</v>
          </cell>
        </row>
        <row r="180">
          <cell r="A180">
            <v>2003</v>
          </cell>
          <cell r="B180">
            <v>2</v>
          </cell>
          <cell r="C180">
            <v>2</v>
          </cell>
          <cell r="D180">
            <v>303</v>
          </cell>
          <cell r="E180">
            <v>1</v>
          </cell>
          <cell r="F180" t="str">
            <v>USD</v>
          </cell>
          <cell r="G180">
            <v>12</v>
          </cell>
          <cell r="H180">
            <v>3500000</v>
          </cell>
          <cell r="I180">
            <v>2</v>
          </cell>
          <cell r="J180" t="str">
            <v>АК АПИБ "Агроинвестбанк"</v>
          </cell>
          <cell r="K180">
            <v>42000000</v>
          </cell>
          <cell r="L180">
            <v>3532236.8421052634</v>
          </cell>
          <cell r="M180">
            <v>1.0092105263157896</v>
          </cell>
          <cell r="N180">
            <v>42386842.10526316</v>
          </cell>
        </row>
        <row r="181">
          <cell r="A181">
            <v>2003</v>
          </cell>
          <cell r="B181">
            <v>2</v>
          </cell>
          <cell r="C181">
            <v>2</v>
          </cell>
          <cell r="D181">
            <v>309</v>
          </cell>
          <cell r="E181">
            <v>1</v>
          </cell>
          <cell r="F181" t="str">
            <v>USD</v>
          </cell>
          <cell r="G181">
            <v>12</v>
          </cell>
          <cell r="H181">
            <v>1500000</v>
          </cell>
          <cell r="I181">
            <v>1</v>
          </cell>
          <cell r="J181" t="str">
            <v>АК АПИБ "Агроинвестбанк"</v>
          </cell>
          <cell r="K181">
            <v>18000000</v>
          </cell>
          <cell r="L181">
            <v>1513815.7894736843</v>
          </cell>
          <cell r="M181">
            <v>1.0092105263157896</v>
          </cell>
          <cell r="N181">
            <v>18165789.47368421</v>
          </cell>
        </row>
        <row r="182">
          <cell r="A182">
            <v>2003</v>
          </cell>
          <cell r="B182">
            <v>2</v>
          </cell>
          <cell r="C182">
            <v>2</v>
          </cell>
          <cell r="D182">
            <v>310</v>
          </cell>
          <cell r="E182">
            <v>1</v>
          </cell>
          <cell r="F182" t="str">
            <v>USD</v>
          </cell>
          <cell r="G182">
            <v>12</v>
          </cell>
          <cell r="H182">
            <v>118000</v>
          </cell>
          <cell r="I182">
            <v>1</v>
          </cell>
          <cell r="J182" t="str">
            <v>АК АПИБ "Агроинвестбанк"</v>
          </cell>
          <cell r="K182">
            <v>1416000</v>
          </cell>
          <cell r="L182">
            <v>119086.84210526317</v>
          </cell>
          <cell r="M182">
            <v>1.0092105263157896</v>
          </cell>
          <cell r="N182">
            <v>1429042.105263158</v>
          </cell>
        </row>
        <row r="183">
          <cell r="A183">
            <v>2003</v>
          </cell>
          <cell r="B183">
            <v>2</v>
          </cell>
          <cell r="C183">
            <v>2</v>
          </cell>
          <cell r="D183">
            <v>311</v>
          </cell>
          <cell r="E183">
            <v>1</v>
          </cell>
          <cell r="F183" t="str">
            <v>USD</v>
          </cell>
          <cell r="G183">
            <v>12</v>
          </cell>
          <cell r="H183">
            <v>4288400</v>
          </cell>
          <cell r="I183">
            <v>3</v>
          </cell>
          <cell r="J183" t="str">
            <v>АК АПИБ "Агроинвестбанк"</v>
          </cell>
          <cell r="K183">
            <v>51460800</v>
          </cell>
          <cell r="L183">
            <v>4327898.421052632</v>
          </cell>
          <cell r="M183">
            <v>1.0092105263157896</v>
          </cell>
          <cell r="N183">
            <v>51934781.05263159</v>
          </cell>
        </row>
        <row r="184">
          <cell r="A184">
            <v>2003</v>
          </cell>
          <cell r="B184">
            <v>2</v>
          </cell>
          <cell r="C184">
            <v>2</v>
          </cell>
          <cell r="D184">
            <v>315</v>
          </cell>
          <cell r="E184">
            <v>1</v>
          </cell>
          <cell r="F184" t="str">
            <v>USD</v>
          </cell>
          <cell r="G184">
            <v>12</v>
          </cell>
          <cell r="H184">
            <v>5543644</v>
          </cell>
          <cell r="I184">
            <v>5</v>
          </cell>
          <cell r="J184" t="str">
            <v>АК АПИБ "Агроинвестбанк"</v>
          </cell>
          <cell r="K184">
            <v>66523728</v>
          </cell>
          <cell r="L184">
            <v>5594703.878947369</v>
          </cell>
          <cell r="M184">
            <v>1.0092105263157896</v>
          </cell>
          <cell r="N184">
            <v>67136446.54736842</v>
          </cell>
        </row>
        <row r="185">
          <cell r="A185">
            <v>2003</v>
          </cell>
          <cell r="B185">
            <v>2</v>
          </cell>
          <cell r="C185">
            <v>2</v>
          </cell>
          <cell r="D185">
            <v>316</v>
          </cell>
          <cell r="E185">
            <v>1</v>
          </cell>
          <cell r="F185" t="str">
            <v>USD</v>
          </cell>
          <cell r="G185">
            <v>12</v>
          </cell>
          <cell r="H185">
            <v>180631</v>
          </cell>
          <cell r="I185">
            <v>2</v>
          </cell>
          <cell r="J185" t="str">
            <v>АК АПИБ "Агроинвестбанк"</v>
          </cell>
          <cell r="K185">
            <v>2167572</v>
          </cell>
          <cell r="L185">
            <v>182294.70657894737</v>
          </cell>
          <cell r="M185">
            <v>1.0092105263157896</v>
          </cell>
          <cell r="N185">
            <v>2187536.4789473685</v>
          </cell>
        </row>
        <row r="186">
          <cell r="A186">
            <v>2003</v>
          </cell>
          <cell r="B186">
            <v>2</v>
          </cell>
          <cell r="C186">
            <v>2</v>
          </cell>
          <cell r="D186">
            <v>321</v>
          </cell>
          <cell r="E186">
            <v>1</v>
          </cell>
          <cell r="F186" t="str">
            <v>USD</v>
          </cell>
          <cell r="G186">
            <v>12</v>
          </cell>
          <cell r="H186">
            <v>2683245</v>
          </cell>
          <cell r="I186">
            <v>8</v>
          </cell>
          <cell r="J186" t="str">
            <v>АК АПИБ "Агроинвестбанк"</v>
          </cell>
          <cell r="K186">
            <v>32198940</v>
          </cell>
          <cell r="L186">
            <v>2707959.098684211</v>
          </cell>
          <cell r="M186">
            <v>1.0092105263157896</v>
          </cell>
          <cell r="N186">
            <v>32495509.184210528</v>
          </cell>
        </row>
        <row r="187">
          <cell r="A187">
            <v>2003</v>
          </cell>
          <cell r="B187">
            <v>2</v>
          </cell>
          <cell r="C187">
            <v>1</v>
          </cell>
          <cell r="D187">
            <v>154</v>
          </cell>
          <cell r="E187">
            <v>2</v>
          </cell>
          <cell r="F187" t="str">
            <v>USD</v>
          </cell>
          <cell r="G187">
            <v>30</v>
          </cell>
          <cell r="H187">
            <v>1534</v>
          </cell>
          <cell r="I187">
            <v>1</v>
          </cell>
          <cell r="J187" t="str">
            <v>АК АПИБ "Агроинвестбанк"</v>
          </cell>
          <cell r="K187">
            <v>46020</v>
          </cell>
          <cell r="L187">
            <v>1548.1289473684212</v>
          </cell>
          <cell r="M187">
            <v>1.0092105263157896</v>
          </cell>
          <cell r="N187">
            <v>46443.86842105263</v>
          </cell>
        </row>
        <row r="188">
          <cell r="A188">
            <v>2003</v>
          </cell>
          <cell r="B188">
            <v>2</v>
          </cell>
          <cell r="C188">
            <v>1</v>
          </cell>
          <cell r="D188">
            <v>162</v>
          </cell>
          <cell r="E188">
            <v>2</v>
          </cell>
          <cell r="F188" t="str">
            <v>USD</v>
          </cell>
          <cell r="G188">
            <v>30</v>
          </cell>
          <cell r="H188">
            <v>1534</v>
          </cell>
          <cell r="I188">
            <v>1</v>
          </cell>
          <cell r="J188" t="str">
            <v>АК АПИБ "Агроинвестбанк"</v>
          </cell>
          <cell r="K188">
            <v>46020</v>
          </cell>
          <cell r="L188">
            <v>1548.1289473684212</v>
          </cell>
          <cell r="M188">
            <v>1.0092105263157896</v>
          </cell>
          <cell r="N188">
            <v>46443.86842105263</v>
          </cell>
        </row>
        <row r="189">
          <cell r="A189">
            <v>2003</v>
          </cell>
          <cell r="B189">
            <v>2</v>
          </cell>
          <cell r="C189">
            <v>1</v>
          </cell>
          <cell r="D189">
            <v>164</v>
          </cell>
          <cell r="E189">
            <v>2</v>
          </cell>
          <cell r="F189" t="str">
            <v>USD</v>
          </cell>
          <cell r="G189">
            <v>30</v>
          </cell>
          <cell r="H189">
            <v>1534</v>
          </cell>
          <cell r="I189">
            <v>1</v>
          </cell>
          <cell r="J189" t="str">
            <v>АК АПИБ "Агроинвестбанк"</v>
          </cell>
          <cell r="K189">
            <v>46020</v>
          </cell>
          <cell r="L189">
            <v>1548.1289473684212</v>
          </cell>
          <cell r="M189">
            <v>1.0092105263157896</v>
          </cell>
          <cell r="N189">
            <v>46443.86842105263</v>
          </cell>
        </row>
        <row r="190">
          <cell r="A190">
            <v>2003</v>
          </cell>
          <cell r="B190">
            <v>2</v>
          </cell>
          <cell r="C190">
            <v>1</v>
          </cell>
          <cell r="D190">
            <v>165</v>
          </cell>
          <cell r="E190">
            <v>2</v>
          </cell>
          <cell r="F190" t="str">
            <v>USD</v>
          </cell>
          <cell r="G190">
            <v>30</v>
          </cell>
          <cell r="H190">
            <v>1227</v>
          </cell>
          <cell r="I190">
            <v>1</v>
          </cell>
          <cell r="J190" t="str">
            <v>АК АПИБ "Агроинвестбанк"</v>
          </cell>
          <cell r="K190">
            <v>36810</v>
          </cell>
          <cell r="L190">
            <v>1238.3013157894738</v>
          </cell>
          <cell r="M190">
            <v>1.0092105263157896</v>
          </cell>
          <cell r="N190">
            <v>37149.03947368421</v>
          </cell>
        </row>
        <row r="191">
          <cell r="A191">
            <v>2003</v>
          </cell>
          <cell r="B191">
            <v>2</v>
          </cell>
          <cell r="C191">
            <v>1</v>
          </cell>
          <cell r="D191">
            <v>168</v>
          </cell>
          <cell r="E191">
            <v>2</v>
          </cell>
          <cell r="F191" t="str">
            <v>USD</v>
          </cell>
          <cell r="G191">
            <v>30</v>
          </cell>
          <cell r="H191">
            <v>1534</v>
          </cell>
          <cell r="I191">
            <v>1</v>
          </cell>
          <cell r="J191" t="str">
            <v>АК АПИБ "Агроинвестбанк"</v>
          </cell>
          <cell r="K191">
            <v>46020</v>
          </cell>
          <cell r="L191">
            <v>1548.1289473684212</v>
          </cell>
          <cell r="M191">
            <v>1.0092105263157896</v>
          </cell>
          <cell r="N191">
            <v>46443.86842105263</v>
          </cell>
        </row>
        <row r="192">
          <cell r="A192">
            <v>2003</v>
          </cell>
          <cell r="B192">
            <v>2</v>
          </cell>
          <cell r="C192">
            <v>1</v>
          </cell>
          <cell r="D192">
            <v>169</v>
          </cell>
          <cell r="E192">
            <v>2</v>
          </cell>
          <cell r="F192" t="str">
            <v>USD</v>
          </cell>
          <cell r="G192">
            <v>30</v>
          </cell>
          <cell r="H192">
            <v>1534</v>
          </cell>
          <cell r="I192">
            <v>1</v>
          </cell>
          <cell r="J192" t="str">
            <v>АК АПИБ "Агроинвестбанк"</v>
          </cell>
          <cell r="K192">
            <v>46020</v>
          </cell>
          <cell r="L192">
            <v>1548.1289473684212</v>
          </cell>
          <cell r="M192">
            <v>1.0092105263157896</v>
          </cell>
          <cell r="N192">
            <v>46443.86842105263</v>
          </cell>
        </row>
        <row r="193">
          <cell r="A193">
            <v>2003</v>
          </cell>
          <cell r="B193">
            <v>2</v>
          </cell>
          <cell r="C193">
            <v>1</v>
          </cell>
          <cell r="D193">
            <v>170</v>
          </cell>
          <cell r="E193">
            <v>2</v>
          </cell>
          <cell r="F193" t="str">
            <v>USD</v>
          </cell>
          <cell r="G193">
            <v>30</v>
          </cell>
          <cell r="H193">
            <v>1534</v>
          </cell>
          <cell r="I193">
            <v>1</v>
          </cell>
          <cell r="J193" t="str">
            <v>АК АПИБ "Агроинвестбанк"</v>
          </cell>
          <cell r="K193">
            <v>46020</v>
          </cell>
          <cell r="L193">
            <v>1548.1289473684212</v>
          </cell>
          <cell r="M193">
            <v>1.0092105263157896</v>
          </cell>
          <cell r="N193">
            <v>46443.86842105263</v>
          </cell>
        </row>
        <row r="194">
          <cell r="A194">
            <v>2003</v>
          </cell>
          <cell r="B194">
            <v>2</v>
          </cell>
          <cell r="C194">
            <v>1</v>
          </cell>
          <cell r="D194">
            <v>171</v>
          </cell>
          <cell r="E194">
            <v>2</v>
          </cell>
          <cell r="F194" t="str">
            <v>USD</v>
          </cell>
          <cell r="G194">
            <v>30</v>
          </cell>
          <cell r="H194">
            <v>3068</v>
          </cell>
          <cell r="I194">
            <v>2</v>
          </cell>
          <cell r="J194" t="str">
            <v>АК АПИБ "Агроинвестбанк"</v>
          </cell>
          <cell r="K194">
            <v>92040</v>
          </cell>
          <cell r="L194">
            <v>3096.2578947368424</v>
          </cell>
          <cell r="M194">
            <v>1.0092105263157896</v>
          </cell>
          <cell r="N194">
            <v>92887.73684210527</v>
          </cell>
        </row>
        <row r="195">
          <cell r="A195">
            <v>2003</v>
          </cell>
          <cell r="B195">
            <v>2</v>
          </cell>
          <cell r="C195">
            <v>1</v>
          </cell>
          <cell r="D195">
            <v>175</v>
          </cell>
          <cell r="E195">
            <v>2</v>
          </cell>
          <cell r="F195" t="str">
            <v>USD</v>
          </cell>
          <cell r="G195">
            <v>30</v>
          </cell>
          <cell r="H195">
            <v>1534</v>
          </cell>
          <cell r="I195">
            <v>1</v>
          </cell>
          <cell r="J195" t="str">
            <v>АК АПИБ "Агроинвестбанк"</v>
          </cell>
          <cell r="K195">
            <v>46020</v>
          </cell>
          <cell r="L195">
            <v>1548.1289473684212</v>
          </cell>
          <cell r="M195">
            <v>1.0092105263157896</v>
          </cell>
          <cell r="N195">
            <v>46443.86842105263</v>
          </cell>
        </row>
        <row r="196">
          <cell r="A196">
            <v>2003</v>
          </cell>
          <cell r="B196">
            <v>2</v>
          </cell>
          <cell r="C196">
            <v>1</v>
          </cell>
          <cell r="D196">
            <v>177</v>
          </cell>
          <cell r="E196">
            <v>2</v>
          </cell>
          <cell r="F196" t="str">
            <v>USD</v>
          </cell>
          <cell r="G196">
            <v>30</v>
          </cell>
          <cell r="H196">
            <v>1534</v>
          </cell>
          <cell r="I196">
            <v>1</v>
          </cell>
          <cell r="J196" t="str">
            <v>АК АПИБ "Агроинвестбанк"</v>
          </cell>
          <cell r="K196">
            <v>46020</v>
          </cell>
          <cell r="L196">
            <v>1548.1289473684212</v>
          </cell>
          <cell r="M196">
            <v>1.0092105263157896</v>
          </cell>
          <cell r="N196">
            <v>46443.86842105263</v>
          </cell>
        </row>
        <row r="197">
          <cell r="A197">
            <v>2003</v>
          </cell>
          <cell r="B197">
            <v>2</v>
          </cell>
          <cell r="C197">
            <v>1</v>
          </cell>
          <cell r="D197">
            <v>178</v>
          </cell>
          <cell r="E197">
            <v>2</v>
          </cell>
          <cell r="F197" t="str">
            <v>USD</v>
          </cell>
          <cell r="G197">
            <v>30</v>
          </cell>
          <cell r="H197">
            <v>1534</v>
          </cell>
          <cell r="I197">
            <v>1</v>
          </cell>
          <cell r="J197" t="str">
            <v>АК АПИБ "Агроинвестбанк"</v>
          </cell>
          <cell r="K197">
            <v>46020</v>
          </cell>
          <cell r="L197">
            <v>1548.1289473684212</v>
          </cell>
          <cell r="M197">
            <v>1.0092105263157896</v>
          </cell>
          <cell r="N197">
            <v>46443.86842105263</v>
          </cell>
        </row>
        <row r="198">
          <cell r="A198">
            <v>2003</v>
          </cell>
          <cell r="B198">
            <v>2</v>
          </cell>
          <cell r="C198">
            <v>1</v>
          </cell>
          <cell r="D198">
            <v>179</v>
          </cell>
          <cell r="E198">
            <v>2</v>
          </cell>
          <cell r="F198" t="str">
            <v>USD</v>
          </cell>
          <cell r="G198">
            <v>30</v>
          </cell>
          <cell r="H198">
            <v>1534</v>
          </cell>
          <cell r="I198">
            <v>1</v>
          </cell>
          <cell r="J198" t="str">
            <v>АК АПИБ "Агроинвестбанк"</v>
          </cell>
          <cell r="K198">
            <v>46020</v>
          </cell>
          <cell r="L198">
            <v>1548.1289473684212</v>
          </cell>
          <cell r="M198">
            <v>1.0092105263157896</v>
          </cell>
          <cell r="N198">
            <v>46443.86842105263</v>
          </cell>
        </row>
        <row r="199">
          <cell r="A199">
            <v>2003</v>
          </cell>
          <cell r="B199">
            <v>2</v>
          </cell>
          <cell r="C199">
            <v>1</v>
          </cell>
          <cell r="D199">
            <v>180</v>
          </cell>
          <cell r="E199">
            <v>2</v>
          </cell>
          <cell r="F199" t="str">
            <v>USD</v>
          </cell>
          <cell r="G199">
            <v>30</v>
          </cell>
          <cell r="H199">
            <v>1534</v>
          </cell>
          <cell r="I199">
            <v>1</v>
          </cell>
          <cell r="J199" t="str">
            <v>АК АПИБ "Агроинвестбанк"</v>
          </cell>
          <cell r="K199">
            <v>46020</v>
          </cell>
          <cell r="L199">
            <v>1548.1289473684212</v>
          </cell>
          <cell r="M199">
            <v>1.0092105263157896</v>
          </cell>
          <cell r="N199">
            <v>46443.86842105263</v>
          </cell>
        </row>
        <row r="200">
          <cell r="A200">
            <v>2003</v>
          </cell>
          <cell r="B200">
            <v>2</v>
          </cell>
          <cell r="C200">
            <v>1</v>
          </cell>
          <cell r="D200">
            <v>181</v>
          </cell>
          <cell r="E200">
            <v>2</v>
          </cell>
          <cell r="F200" t="str">
            <v>USD</v>
          </cell>
          <cell r="G200">
            <v>30</v>
          </cell>
          <cell r="H200">
            <v>1534</v>
          </cell>
          <cell r="I200">
            <v>1</v>
          </cell>
          <cell r="J200" t="str">
            <v>АК АПИБ "Агроинвестбанк"</v>
          </cell>
          <cell r="K200">
            <v>46020</v>
          </cell>
          <cell r="L200">
            <v>1548.1289473684212</v>
          </cell>
          <cell r="M200">
            <v>1.0092105263157896</v>
          </cell>
          <cell r="N200">
            <v>46443.86842105263</v>
          </cell>
        </row>
        <row r="201">
          <cell r="A201">
            <v>2003</v>
          </cell>
          <cell r="B201">
            <v>2</v>
          </cell>
          <cell r="C201">
            <v>1</v>
          </cell>
          <cell r="D201">
            <v>183</v>
          </cell>
          <cell r="E201">
            <v>2</v>
          </cell>
          <cell r="F201" t="str">
            <v>USD</v>
          </cell>
          <cell r="G201">
            <v>30</v>
          </cell>
          <cell r="H201">
            <v>1534</v>
          </cell>
          <cell r="I201">
            <v>1</v>
          </cell>
          <cell r="J201" t="str">
            <v>АК АПИБ "Агроинвестбанк"</v>
          </cell>
          <cell r="K201">
            <v>46020</v>
          </cell>
          <cell r="L201">
            <v>1548.1289473684212</v>
          </cell>
          <cell r="M201">
            <v>1.0092105263157896</v>
          </cell>
          <cell r="N201">
            <v>46443.86842105263</v>
          </cell>
        </row>
        <row r="202">
          <cell r="A202">
            <v>2003</v>
          </cell>
          <cell r="B202">
            <v>2</v>
          </cell>
          <cell r="C202">
            <v>1</v>
          </cell>
          <cell r="D202">
            <v>201</v>
          </cell>
          <cell r="E202">
            <v>2</v>
          </cell>
          <cell r="F202" t="str">
            <v>USD</v>
          </cell>
          <cell r="G202">
            <v>30</v>
          </cell>
          <cell r="H202">
            <v>1534</v>
          </cell>
          <cell r="I202">
            <v>1</v>
          </cell>
          <cell r="J202" t="str">
            <v>АК АПИБ "Агроинвестбанк"</v>
          </cell>
          <cell r="K202">
            <v>46020</v>
          </cell>
          <cell r="L202">
            <v>1548.1289473684212</v>
          </cell>
          <cell r="M202">
            <v>1.0092105263157896</v>
          </cell>
          <cell r="N202">
            <v>46443.86842105263</v>
          </cell>
        </row>
        <row r="203">
          <cell r="A203">
            <v>2003</v>
          </cell>
          <cell r="B203">
            <v>2</v>
          </cell>
          <cell r="C203">
            <v>1</v>
          </cell>
          <cell r="D203">
            <v>303</v>
          </cell>
          <cell r="E203">
            <v>2</v>
          </cell>
          <cell r="F203" t="str">
            <v>USD</v>
          </cell>
          <cell r="G203">
            <v>36</v>
          </cell>
          <cell r="H203">
            <v>614</v>
          </cell>
          <cell r="I203">
            <v>1</v>
          </cell>
          <cell r="J203" t="str">
            <v>АК АПИБ "Агроинвестбанк"</v>
          </cell>
          <cell r="K203">
            <v>22104</v>
          </cell>
          <cell r="L203">
            <v>619.6552631578948</v>
          </cell>
          <cell r="M203">
            <v>1.0092105263157896</v>
          </cell>
          <cell r="N203">
            <v>22307.589473684213</v>
          </cell>
        </row>
        <row r="204">
          <cell r="A204">
            <v>2003</v>
          </cell>
          <cell r="B204">
            <v>2</v>
          </cell>
          <cell r="C204">
            <v>1</v>
          </cell>
          <cell r="D204">
            <v>311</v>
          </cell>
          <cell r="E204">
            <v>2</v>
          </cell>
          <cell r="F204" t="str">
            <v>USD</v>
          </cell>
          <cell r="G204">
            <v>36</v>
          </cell>
          <cell r="H204">
            <v>3068</v>
          </cell>
          <cell r="I204">
            <v>2</v>
          </cell>
          <cell r="J204" t="str">
            <v>АК АПИБ "Агроинвестбанк"</v>
          </cell>
          <cell r="K204">
            <v>110448</v>
          </cell>
          <cell r="L204">
            <v>3096.2578947368424</v>
          </cell>
          <cell r="M204">
            <v>1.0092105263157896</v>
          </cell>
          <cell r="N204">
            <v>111465.28421052633</v>
          </cell>
        </row>
        <row r="205">
          <cell r="A205">
            <v>2003</v>
          </cell>
          <cell r="B205">
            <v>2</v>
          </cell>
          <cell r="C205">
            <v>1</v>
          </cell>
          <cell r="D205">
            <v>90</v>
          </cell>
          <cell r="E205">
            <v>1</v>
          </cell>
          <cell r="F205" t="str">
            <v>TJS</v>
          </cell>
          <cell r="G205">
            <v>36</v>
          </cell>
          <cell r="H205">
            <v>300000</v>
          </cell>
          <cell r="I205">
            <v>1</v>
          </cell>
          <cell r="J205" t="str">
            <v>АКБ "Эсхата"</v>
          </cell>
          <cell r="K205">
            <v>10800000</v>
          </cell>
          <cell r="L205">
            <v>300000</v>
          </cell>
          <cell r="M205">
            <v>1</v>
          </cell>
          <cell r="N205">
            <v>10800000</v>
          </cell>
        </row>
        <row r="206">
          <cell r="A206">
            <v>2003</v>
          </cell>
          <cell r="B206">
            <v>2</v>
          </cell>
          <cell r="C206">
            <v>3</v>
          </cell>
          <cell r="D206">
            <v>90</v>
          </cell>
          <cell r="E206">
            <v>1</v>
          </cell>
          <cell r="F206" t="str">
            <v>TJS</v>
          </cell>
          <cell r="G206">
            <v>50</v>
          </cell>
          <cell r="H206">
            <v>6500</v>
          </cell>
          <cell r="I206">
            <v>1</v>
          </cell>
          <cell r="J206" t="str">
            <v>АКБ "Эсхата"</v>
          </cell>
          <cell r="K206">
            <v>325000</v>
          </cell>
          <cell r="L206">
            <v>6500</v>
          </cell>
          <cell r="M206">
            <v>1</v>
          </cell>
          <cell r="N206">
            <v>325000</v>
          </cell>
        </row>
        <row r="207">
          <cell r="A207">
            <v>2003</v>
          </cell>
          <cell r="B207">
            <v>2</v>
          </cell>
          <cell r="C207">
            <v>1</v>
          </cell>
          <cell r="D207">
            <v>90</v>
          </cell>
          <cell r="E207">
            <v>2</v>
          </cell>
          <cell r="F207" t="str">
            <v>TJS</v>
          </cell>
          <cell r="G207">
            <v>40</v>
          </cell>
          <cell r="H207">
            <v>22700</v>
          </cell>
          <cell r="I207">
            <v>3</v>
          </cell>
          <cell r="J207" t="str">
            <v>АКБ "Эсхата"</v>
          </cell>
          <cell r="K207">
            <v>908000</v>
          </cell>
          <cell r="L207">
            <v>22700</v>
          </cell>
          <cell r="M207">
            <v>1</v>
          </cell>
          <cell r="N207">
            <v>908000</v>
          </cell>
        </row>
        <row r="208">
          <cell r="A208">
            <v>2003</v>
          </cell>
          <cell r="B208">
            <v>2</v>
          </cell>
          <cell r="C208">
            <v>1</v>
          </cell>
          <cell r="D208">
            <v>90</v>
          </cell>
          <cell r="E208">
            <v>2</v>
          </cell>
          <cell r="F208" t="str">
            <v>TJS</v>
          </cell>
          <cell r="G208">
            <v>50</v>
          </cell>
          <cell r="H208">
            <v>4000</v>
          </cell>
          <cell r="I208">
            <v>1</v>
          </cell>
          <cell r="J208" t="str">
            <v>АКБ "Эсхата"</v>
          </cell>
          <cell r="K208">
            <v>200000</v>
          </cell>
          <cell r="L208">
            <v>4000</v>
          </cell>
          <cell r="M208">
            <v>1</v>
          </cell>
          <cell r="N208">
            <v>200000</v>
          </cell>
        </row>
        <row r="209">
          <cell r="A209">
            <v>2003</v>
          </cell>
          <cell r="B209">
            <v>2</v>
          </cell>
          <cell r="C209">
            <v>1</v>
          </cell>
          <cell r="D209">
            <v>90</v>
          </cell>
          <cell r="E209">
            <v>2</v>
          </cell>
          <cell r="F209" t="str">
            <v>USD</v>
          </cell>
          <cell r="G209">
            <v>30</v>
          </cell>
          <cell r="H209">
            <v>4602</v>
          </cell>
          <cell r="I209">
            <v>1</v>
          </cell>
          <cell r="J209" t="str">
            <v>АКБ "Эсхата"</v>
          </cell>
          <cell r="K209">
            <v>138060</v>
          </cell>
          <cell r="L209">
            <v>4644.386842105264</v>
          </cell>
          <cell r="M209">
            <v>1.0092105263157896</v>
          </cell>
          <cell r="N209">
            <v>139331.6052631579</v>
          </cell>
        </row>
        <row r="210">
          <cell r="A210">
            <v>2003</v>
          </cell>
          <cell r="B210">
            <v>2</v>
          </cell>
          <cell r="C210">
            <v>1</v>
          </cell>
          <cell r="D210">
            <v>90</v>
          </cell>
          <cell r="E210">
            <v>2</v>
          </cell>
          <cell r="F210" t="str">
            <v>USD</v>
          </cell>
          <cell r="G210">
            <v>40</v>
          </cell>
          <cell r="H210">
            <v>21476</v>
          </cell>
          <cell r="I210">
            <v>1</v>
          </cell>
          <cell r="J210" t="str">
            <v>АКБ "Эсхата"</v>
          </cell>
          <cell r="K210">
            <v>859040</v>
          </cell>
          <cell r="L210">
            <v>21673.805263157898</v>
          </cell>
          <cell r="M210">
            <v>1.0092105263157896</v>
          </cell>
          <cell r="N210">
            <v>866952.2105263158</v>
          </cell>
        </row>
        <row r="211">
          <cell r="A211">
            <v>2003</v>
          </cell>
          <cell r="B211">
            <v>2</v>
          </cell>
          <cell r="C211">
            <v>3</v>
          </cell>
          <cell r="D211">
            <v>90</v>
          </cell>
          <cell r="E211">
            <v>1</v>
          </cell>
          <cell r="F211" t="str">
            <v>TJS</v>
          </cell>
          <cell r="G211">
            <v>12</v>
          </cell>
          <cell r="H211">
            <v>9052</v>
          </cell>
          <cell r="I211">
            <v>2</v>
          </cell>
          <cell r="J211" t="str">
            <v>АОЗТ"Кафолат"</v>
          </cell>
          <cell r="K211">
            <v>108624</v>
          </cell>
          <cell r="L211">
            <v>9052</v>
          </cell>
          <cell r="M211">
            <v>1</v>
          </cell>
          <cell r="N211">
            <v>108624</v>
          </cell>
        </row>
        <row r="212">
          <cell r="A212">
            <v>2003</v>
          </cell>
          <cell r="B212">
            <v>2</v>
          </cell>
          <cell r="C212">
            <v>1</v>
          </cell>
          <cell r="D212">
            <v>30</v>
          </cell>
          <cell r="E212">
            <v>1</v>
          </cell>
          <cell r="F212" t="str">
            <v>TJS</v>
          </cell>
          <cell r="G212">
            <v>32</v>
          </cell>
          <cell r="H212">
            <v>35000</v>
          </cell>
          <cell r="I212">
            <v>1</v>
          </cell>
          <cell r="J212" t="str">
            <v>АОЗТ"Кафолат"</v>
          </cell>
          <cell r="K212">
            <v>1120000</v>
          </cell>
          <cell r="L212">
            <v>35000</v>
          </cell>
          <cell r="M212">
            <v>1</v>
          </cell>
          <cell r="N212">
            <v>1120000</v>
          </cell>
        </row>
        <row r="213">
          <cell r="A213">
            <v>2003</v>
          </cell>
          <cell r="B213">
            <v>2</v>
          </cell>
          <cell r="C213">
            <v>3</v>
          </cell>
          <cell r="D213">
            <v>240</v>
          </cell>
          <cell r="E213">
            <v>1</v>
          </cell>
          <cell r="F213" t="str">
            <v>TJS</v>
          </cell>
          <cell r="G213">
            <v>12</v>
          </cell>
          <cell r="H213">
            <v>5253</v>
          </cell>
          <cell r="I213">
            <v>1</v>
          </cell>
          <cell r="J213" t="str">
            <v>АОЗТ"Кафолат"</v>
          </cell>
          <cell r="K213">
            <v>63036</v>
          </cell>
          <cell r="L213">
            <v>5253</v>
          </cell>
          <cell r="M213">
            <v>1</v>
          </cell>
          <cell r="N213">
            <v>63036</v>
          </cell>
        </row>
        <row r="214">
          <cell r="A214">
            <v>2003</v>
          </cell>
          <cell r="B214">
            <v>2</v>
          </cell>
          <cell r="C214">
            <v>1</v>
          </cell>
          <cell r="D214">
            <v>305</v>
          </cell>
          <cell r="E214">
            <v>1</v>
          </cell>
          <cell r="F214" t="str">
            <v>TJS</v>
          </cell>
          <cell r="G214">
            <v>36</v>
          </cell>
          <cell r="H214">
            <v>5550</v>
          </cell>
          <cell r="I214">
            <v>1</v>
          </cell>
          <cell r="J214" t="str">
            <v>АОЗТ"Кафолат"</v>
          </cell>
          <cell r="K214">
            <v>199800</v>
          </cell>
          <cell r="L214">
            <v>5550</v>
          </cell>
          <cell r="M214">
            <v>1</v>
          </cell>
          <cell r="N214">
            <v>199800</v>
          </cell>
        </row>
        <row r="215">
          <cell r="A215">
            <v>2003</v>
          </cell>
          <cell r="B215">
            <v>2</v>
          </cell>
          <cell r="C215">
            <v>1</v>
          </cell>
          <cell r="D215">
            <v>30</v>
          </cell>
          <cell r="E215">
            <v>2</v>
          </cell>
          <cell r="F215" t="str">
            <v>TJS</v>
          </cell>
          <cell r="G215">
            <v>32</v>
          </cell>
          <cell r="H215">
            <v>11000</v>
          </cell>
          <cell r="I215">
            <v>1</v>
          </cell>
          <cell r="J215" t="str">
            <v>АОЗТ"Кафолат"</v>
          </cell>
          <cell r="K215">
            <v>352000</v>
          </cell>
          <cell r="L215">
            <v>11000</v>
          </cell>
          <cell r="M215">
            <v>1</v>
          </cell>
          <cell r="N215">
            <v>352000</v>
          </cell>
        </row>
        <row r="216">
          <cell r="A216">
            <v>2003</v>
          </cell>
          <cell r="B216">
            <v>2</v>
          </cell>
          <cell r="C216">
            <v>1</v>
          </cell>
          <cell r="D216">
            <v>360</v>
          </cell>
          <cell r="E216">
            <v>2</v>
          </cell>
          <cell r="F216" t="str">
            <v>TJS</v>
          </cell>
          <cell r="G216">
            <v>12</v>
          </cell>
          <cell r="H216">
            <v>31500</v>
          </cell>
          <cell r="I216">
            <v>1</v>
          </cell>
          <cell r="J216" t="str">
            <v>АОЗТ"Кафолат"</v>
          </cell>
          <cell r="K216">
            <v>378000</v>
          </cell>
          <cell r="L216">
            <v>31500</v>
          </cell>
          <cell r="M216">
            <v>1</v>
          </cell>
          <cell r="N216">
            <v>378000</v>
          </cell>
        </row>
        <row r="217">
          <cell r="A217">
            <v>2003</v>
          </cell>
          <cell r="B217">
            <v>2</v>
          </cell>
          <cell r="C217">
            <v>3</v>
          </cell>
          <cell r="D217">
            <v>90</v>
          </cell>
          <cell r="E217">
            <v>2</v>
          </cell>
          <cell r="F217" t="str">
            <v>TJS</v>
          </cell>
          <cell r="G217">
            <v>12</v>
          </cell>
          <cell r="H217">
            <v>36945</v>
          </cell>
          <cell r="I217">
            <v>2</v>
          </cell>
          <cell r="J217" t="str">
            <v>АОЗТ"Кафолат"</v>
          </cell>
          <cell r="K217">
            <v>443340</v>
          </cell>
          <cell r="L217">
            <v>36945</v>
          </cell>
          <cell r="M217">
            <v>1</v>
          </cell>
          <cell r="N217">
            <v>443340</v>
          </cell>
        </row>
        <row r="218">
          <cell r="A218">
            <v>2003</v>
          </cell>
          <cell r="B218">
            <v>2</v>
          </cell>
          <cell r="C218">
            <v>1</v>
          </cell>
          <cell r="D218">
            <v>90</v>
          </cell>
          <cell r="E218">
            <v>2</v>
          </cell>
          <cell r="F218" t="str">
            <v>TJS</v>
          </cell>
          <cell r="G218">
            <v>36</v>
          </cell>
          <cell r="H218">
            <v>1220</v>
          </cell>
          <cell r="I218">
            <v>2</v>
          </cell>
          <cell r="J218" t="str">
            <v>АОЗТ"Кафолат"</v>
          </cell>
          <cell r="K218">
            <v>43920</v>
          </cell>
          <cell r="L218">
            <v>1220</v>
          </cell>
          <cell r="M218">
            <v>1</v>
          </cell>
          <cell r="N218">
            <v>43920</v>
          </cell>
        </row>
        <row r="219">
          <cell r="A219">
            <v>2003</v>
          </cell>
          <cell r="B219">
            <v>2</v>
          </cell>
          <cell r="C219">
            <v>1</v>
          </cell>
          <cell r="D219">
            <v>180</v>
          </cell>
          <cell r="E219">
            <v>2</v>
          </cell>
          <cell r="F219" t="str">
            <v>USD</v>
          </cell>
          <cell r="G219">
            <v>30</v>
          </cell>
          <cell r="H219">
            <v>767</v>
          </cell>
          <cell r="I219">
            <v>1</v>
          </cell>
          <cell r="J219" t="str">
            <v>АОЗТ"Кафолат"</v>
          </cell>
          <cell r="K219">
            <v>23010</v>
          </cell>
          <cell r="L219">
            <v>774.0644736842106</v>
          </cell>
          <cell r="M219">
            <v>1.0092105263157896</v>
          </cell>
          <cell r="N219">
            <v>23221.934210526317</v>
          </cell>
        </row>
        <row r="220">
          <cell r="A220">
            <v>2003</v>
          </cell>
          <cell r="B220">
            <v>2</v>
          </cell>
          <cell r="C220">
            <v>1</v>
          </cell>
          <cell r="D220">
            <v>180</v>
          </cell>
          <cell r="E220">
            <v>2</v>
          </cell>
          <cell r="F220" t="str">
            <v>USD</v>
          </cell>
          <cell r="G220">
            <v>60</v>
          </cell>
          <cell r="H220">
            <v>2761.2</v>
          </cell>
          <cell r="I220">
            <v>1</v>
          </cell>
          <cell r="J220" t="str">
            <v>АОЗТ"Кафолат"</v>
          </cell>
          <cell r="K220">
            <v>165672</v>
          </cell>
          <cell r="L220">
            <v>2786.632105263158</v>
          </cell>
          <cell r="M220">
            <v>1.0092105263157896</v>
          </cell>
          <cell r="N220">
            <v>167197.9263157895</v>
          </cell>
        </row>
        <row r="221">
          <cell r="A221">
            <v>2003</v>
          </cell>
          <cell r="B221">
            <v>2</v>
          </cell>
          <cell r="C221">
            <v>1</v>
          </cell>
          <cell r="D221">
            <v>90</v>
          </cell>
          <cell r="E221">
            <v>2</v>
          </cell>
          <cell r="F221" t="str">
            <v>USD</v>
          </cell>
          <cell r="G221">
            <v>36</v>
          </cell>
          <cell r="H221">
            <v>30680</v>
          </cell>
          <cell r="I221">
            <v>1</v>
          </cell>
          <cell r="J221" t="str">
            <v>АОЗТ"Кафолат"</v>
          </cell>
          <cell r="K221">
            <v>1104480</v>
          </cell>
          <cell r="L221">
            <v>30962.578947368424</v>
          </cell>
          <cell r="M221">
            <v>1.0092105263157896</v>
          </cell>
          <cell r="N221">
            <v>1114652.8421052631</v>
          </cell>
        </row>
        <row r="222">
          <cell r="A222">
            <v>2003</v>
          </cell>
          <cell r="B222">
            <v>2</v>
          </cell>
          <cell r="C222">
            <v>1</v>
          </cell>
          <cell r="D222">
            <v>180</v>
          </cell>
          <cell r="E222">
            <v>2</v>
          </cell>
          <cell r="F222" t="str">
            <v>USD</v>
          </cell>
          <cell r="G222">
            <v>36</v>
          </cell>
          <cell r="H222">
            <v>14726.4</v>
          </cell>
          <cell r="I222">
            <v>2</v>
          </cell>
          <cell r="J222" t="str">
            <v>АОЗТ"Кафолат"</v>
          </cell>
          <cell r="K222">
            <v>530150.4</v>
          </cell>
          <cell r="L222">
            <v>14862.037894736843</v>
          </cell>
          <cell r="M222">
            <v>1.0092105263157896</v>
          </cell>
          <cell r="N222">
            <v>535033.3642105263</v>
          </cell>
        </row>
        <row r="223">
          <cell r="A223">
            <v>2003</v>
          </cell>
          <cell r="B223">
            <v>2</v>
          </cell>
          <cell r="C223">
            <v>1</v>
          </cell>
          <cell r="D223">
            <v>180</v>
          </cell>
          <cell r="E223">
            <v>2</v>
          </cell>
          <cell r="F223" t="str">
            <v>USD</v>
          </cell>
          <cell r="G223">
            <v>30</v>
          </cell>
          <cell r="H223">
            <v>613.6</v>
          </cell>
          <cell r="I223">
            <v>1</v>
          </cell>
          <cell r="J223" t="str">
            <v>АОЗТ"Кафолат"</v>
          </cell>
          <cell r="K223">
            <v>18408</v>
          </cell>
          <cell r="L223">
            <v>619.2515789473684</v>
          </cell>
          <cell r="M223">
            <v>1.0092105263157896</v>
          </cell>
          <cell r="N223">
            <v>18577.547368421056</v>
          </cell>
        </row>
        <row r="224">
          <cell r="A224">
            <v>2003</v>
          </cell>
          <cell r="B224">
            <v>2</v>
          </cell>
          <cell r="C224">
            <v>1</v>
          </cell>
          <cell r="D224">
            <v>90</v>
          </cell>
          <cell r="E224">
            <v>2</v>
          </cell>
          <cell r="F224" t="str">
            <v>USD</v>
          </cell>
          <cell r="G224">
            <v>36</v>
          </cell>
          <cell r="H224">
            <v>2454.4</v>
          </cell>
          <cell r="I224">
            <v>1</v>
          </cell>
          <cell r="J224" t="str">
            <v>АОЗТ"Кафолат"</v>
          </cell>
          <cell r="K224">
            <v>88358.40000000001</v>
          </cell>
          <cell r="L224">
            <v>2477.006315789474</v>
          </cell>
          <cell r="M224">
            <v>1.0092105263157896</v>
          </cell>
          <cell r="N224">
            <v>89172.22736842107</v>
          </cell>
        </row>
        <row r="225">
          <cell r="A225">
            <v>2003</v>
          </cell>
          <cell r="B225">
            <v>2</v>
          </cell>
          <cell r="C225">
            <v>1</v>
          </cell>
          <cell r="D225">
            <v>180</v>
          </cell>
          <cell r="E225">
            <v>2</v>
          </cell>
          <cell r="F225" t="str">
            <v>USD</v>
          </cell>
          <cell r="G225">
            <v>48</v>
          </cell>
          <cell r="H225">
            <v>11351.6</v>
          </cell>
          <cell r="I225">
            <v>2</v>
          </cell>
          <cell r="J225" t="str">
            <v>АОЗТ"Кафолат"</v>
          </cell>
          <cell r="K225">
            <v>544876.8</v>
          </cell>
          <cell r="L225">
            <v>11456.154210526318</v>
          </cell>
          <cell r="M225">
            <v>1.0092105263157896</v>
          </cell>
          <cell r="N225">
            <v>549895.4021052632</v>
          </cell>
        </row>
        <row r="226">
          <cell r="A226">
            <v>2003</v>
          </cell>
          <cell r="B226">
            <v>2</v>
          </cell>
          <cell r="C226">
            <v>1</v>
          </cell>
          <cell r="D226">
            <v>180</v>
          </cell>
          <cell r="E226">
            <v>2</v>
          </cell>
          <cell r="F226" t="str">
            <v>USD</v>
          </cell>
          <cell r="G226">
            <v>42</v>
          </cell>
          <cell r="H226">
            <v>3068</v>
          </cell>
          <cell r="I226">
            <v>1</v>
          </cell>
          <cell r="J226" t="str">
            <v>АОЗТ"Кафолат"</v>
          </cell>
          <cell r="K226">
            <v>128856</v>
          </cell>
          <cell r="L226">
            <v>3096.2578947368424</v>
          </cell>
          <cell r="M226">
            <v>1.0092105263157896</v>
          </cell>
          <cell r="N226">
            <v>130042.83157894739</v>
          </cell>
        </row>
        <row r="227">
          <cell r="A227">
            <v>2003</v>
          </cell>
          <cell r="B227">
            <v>2</v>
          </cell>
          <cell r="C227">
            <v>1</v>
          </cell>
          <cell r="D227">
            <v>45</v>
          </cell>
          <cell r="E227">
            <v>2</v>
          </cell>
          <cell r="F227" t="str">
            <v>TJS</v>
          </cell>
          <cell r="G227">
            <v>30</v>
          </cell>
          <cell r="H227">
            <v>34000</v>
          </cell>
          <cell r="I227">
            <v>2</v>
          </cell>
          <cell r="J227" t="str">
            <v>АОЗТ "Олимп"</v>
          </cell>
          <cell r="K227">
            <v>1020000</v>
          </cell>
          <cell r="L227">
            <v>34000</v>
          </cell>
          <cell r="M227">
            <v>1</v>
          </cell>
          <cell r="N227">
            <v>1020000</v>
          </cell>
        </row>
        <row r="228">
          <cell r="A228">
            <v>2003</v>
          </cell>
          <cell r="B228">
            <v>2</v>
          </cell>
          <cell r="C228">
            <v>1</v>
          </cell>
          <cell r="D228">
            <v>90</v>
          </cell>
          <cell r="E228">
            <v>2</v>
          </cell>
          <cell r="F228" t="str">
            <v>TJS</v>
          </cell>
          <cell r="G228">
            <v>30</v>
          </cell>
          <cell r="H228">
            <v>8000</v>
          </cell>
          <cell r="I228">
            <v>1</v>
          </cell>
          <cell r="J228" t="str">
            <v>АОЗТ "Олимп"</v>
          </cell>
          <cell r="K228">
            <v>240000</v>
          </cell>
          <cell r="L228">
            <v>8000</v>
          </cell>
          <cell r="M228">
            <v>1</v>
          </cell>
          <cell r="N228">
            <v>240000</v>
          </cell>
        </row>
        <row r="229">
          <cell r="A229">
            <v>2003</v>
          </cell>
          <cell r="B229">
            <v>2</v>
          </cell>
          <cell r="C229">
            <v>1</v>
          </cell>
          <cell r="D229">
            <v>180</v>
          </cell>
          <cell r="E229">
            <v>2</v>
          </cell>
          <cell r="F229" t="str">
            <v>TJS</v>
          </cell>
          <cell r="G229">
            <v>30</v>
          </cell>
          <cell r="H229">
            <v>4800</v>
          </cell>
          <cell r="I229">
            <v>1</v>
          </cell>
          <cell r="J229" t="str">
            <v>АОЗТ "Олимп"</v>
          </cell>
          <cell r="K229">
            <v>144000</v>
          </cell>
          <cell r="L229">
            <v>4800</v>
          </cell>
          <cell r="M229">
            <v>1</v>
          </cell>
          <cell r="N229">
            <v>144000</v>
          </cell>
        </row>
        <row r="230">
          <cell r="A230">
            <v>2003</v>
          </cell>
          <cell r="B230">
            <v>2</v>
          </cell>
          <cell r="C230">
            <v>1</v>
          </cell>
          <cell r="D230">
            <v>90</v>
          </cell>
          <cell r="E230">
            <v>2</v>
          </cell>
          <cell r="F230" t="str">
            <v>TJS</v>
          </cell>
          <cell r="G230">
            <v>24</v>
          </cell>
          <cell r="H230">
            <v>42000</v>
          </cell>
          <cell r="I230">
            <v>1</v>
          </cell>
          <cell r="J230" t="str">
            <v>АОЗТ "Олимп"</v>
          </cell>
          <cell r="K230">
            <v>1008000</v>
          </cell>
          <cell r="L230">
            <v>42000</v>
          </cell>
          <cell r="M230">
            <v>1</v>
          </cell>
          <cell r="N230">
            <v>1008000</v>
          </cell>
        </row>
        <row r="231">
          <cell r="A231">
            <v>2003</v>
          </cell>
          <cell r="B231">
            <v>2</v>
          </cell>
          <cell r="C231">
            <v>1</v>
          </cell>
          <cell r="D231">
            <v>180</v>
          </cell>
          <cell r="E231">
            <v>2</v>
          </cell>
          <cell r="F231" t="str">
            <v>TJS</v>
          </cell>
          <cell r="G231">
            <v>24</v>
          </cell>
          <cell r="H231">
            <v>4800</v>
          </cell>
          <cell r="I231">
            <v>1</v>
          </cell>
          <cell r="J231" t="str">
            <v>АОЗТ "Олимп"</v>
          </cell>
          <cell r="K231">
            <v>115200</v>
          </cell>
          <cell r="L231">
            <v>4800</v>
          </cell>
          <cell r="M231">
            <v>1</v>
          </cell>
          <cell r="N231">
            <v>115200</v>
          </cell>
        </row>
        <row r="232">
          <cell r="A232">
            <v>2003</v>
          </cell>
          <cell r="B232">
            <v>2</v>
          </cell>
          <cell r="C232">
            <v>1</v>
          </cell>
          <cell r="D232">
            <v>180</v>
          </cell>
          <cell r="E232">
            <v>2</v>
          </cell>
          <cell r="F232" t="str">
            <v>USD</v>
          </cell>
          <cell r="G232">
            <v>30</v>
          </cell>
          <cell r="H232">
            <v>15646</v>
          </cell>
          <cell r="I232">
            <v>1</v>
          </cell>
          <cell r="J232" t="str">
            <v>АОЗТ "Олимп"</v>
          </cell>
          <cell r="K232">
            <v>469380</v>
          </cell>
          <cell r="L232">
            <v>15790.107894736844</v>
          </cell>
          <cell r="M232">
            <v>1.0092105263157896</v>
          </cell>
          <cell r="N232">
            <v>473703.2368421053</v>
          </cell>
        </row>
        <row r="233">
          <cell r="A233">
            <v>2003</v>
          </cell>
          <cell r="B233">
            <v>2</v>
          </cell>
          <cell r="C233">
            <v>3</v>
          </cell>
          <cell r="D233">
            <v>360</v>
          </cell>
          <cell r="E233">
            <v>1</v>
          </cell>
          <cell r="F233" t="str">
            <v>TJS</v>
          </cell>
          <cell r="G233">
            <v>20</v>
          </cell>
          <cell r="H233">
            <v>409895</v>
          </cell>
          <cell r="I233">
            <v>1</v>
          </cell>
          <cell r="J233" t="str">
            <v>ГАКБ "Точиксодиротбонк"</v>
          </cell>
          <cell r="K233">
            <v>8197900</v>
          </cell>
          <cell r="L233">
            <v>409895</v>
          </cell>
          <cell r="M233">
            <v>1</v>
          </cell>
          <cell r="N233">
            <v>8197900</v>
          </cell>
        </row>
        <row r="234">
          <cell r="A234">
            <v>2003</v>
          </cell>
          <cell r="B234">
            <v>2</v>
          </cell>
          <cell r="C234">
            <v>2</v>
          </cell>
          <cell r="D234">
            <v>360</v>
          </cell>
          <cell r="E234">
            <v>1</v>
          </cell>
          <cell r="F234" t="str">
            <v>TJS</v>
          </cell>
          <cell r="G234">
            <v>18</v>
          </cell>
          <cell r="H234">
            <v>309500</v>
          </cell>
          <cell r="I234">
            <v>5</v>
          </cell>
          <cell r="J234" t="str">
            <v>ГАКБ "Точиксодиротбонк"</v>
          </cell>
          <cell r="K234">
            <v>5571000</v>
          </cell>
          <cell r="L234">
            <v>309500</v>
          </cell>
          <cell r="M234">
            <v>1</v>
          </cell>
          <cell r="N234">
            <v>5571000</v>
          </cell>
        </row>
        <row r="235">
          <cell r="A235">
            <v>2003</v>
          </cell>
          <cell r="B235">
            <v>2</v>
          </cell>
          <cell r="C235">
            <v>1</v>
          </cell>
          <cell r="D235">
            <v>180</v>
          </cell>
          <cell r="E235">
            <v>1</v>
          </cell>
          <cell r="F235" t="str">
            <v>TJS</v>
          </cell>
          <cell r="G235">
            <v>26</v>
          </cell>
          <cell r="H235">
            <v>30000</v>
          </cell>
          <cell r="I235">
            <v>1</v>
          </cell>
          <cell r="J235" t="str">
            <v>ГАКБ "Точиксодиротбонк"</v>
          </cell>
          <cell r="K235">
            <v>780000</v>
          </cell>
          <cell r="L235">
            <v>30000</v>
          </cell>
          <cell r="M235">
            <v>1</v>
          </cell>
          <cell r="N235">
            <v>780000</v>
          </cell>
        </row>
        <row r="236">
          <cell r="A236">
            <v>2003</v>
          </cell>
          <cell r="B236">
            <v>2</v>
          </cell>
          <cell r="C236">
            <v>5</v>
          </cell>
          <cell r="D236">
            <v>210</v>
          </cell>
          <cell r="E236">
            <v>1</v>
          </cell>
          <cell r="F236" t="str">
            <v>TJS</v>
          </cell>
          <cell r="G236">
            <v>25</v>
          </cell>
          <cell r="H236">
            <v>56000</v>
          </cell>
          <cell r="I236">
            <v>1</v>
          </cell>
          <cell r="J236" t="str">
            <v>ГАКБ "Точиксодиротбонк"</v>
          </cell>
          <cell r="K236">
            <v>1400000</v>
          </cell>
          <cell r="L236">
            <v>56000</v>
          </cell>
          <cell r="M236">
            <v>1</v>
          </cell>
          <cell r="N236">
            <v>1400000</v>
          </cell>
        </row>
        <row r="237">
          <cell r="A237">
            <v>2003</v>
          </cell>
          <cell r="B237">
            <v>2</v>
          </cell>
          <cell r="C237">
            <v>1</v>
          </cell>
          <cell r="D237">
            <v>180</v>
          </cell>
          <cell r="E237">
            <v>1</v>
          </cell>
          <cell r="F237" t="str">
            <v>TJS</v>
          </cell>
          <cell r="G237">
            <v>36</v>
          </cell>
          <cell r="H237">
            <v>26500</v>
          </cell>
          <cell r="I237">
            <v>2</v>
          </cell>
          <cell r="J237" t="str">
            <v>ГАКБ "Точиксодиротбонк"</v>
          </cell>
          <cell r="K237">
            <v>954000</v>
          </cell>
          <cell r="L237">
            <v>26500</v>
          </cell>
          <cell r="M237">
            <v>1</v>
          </cell>
          <cell r="N237">
            <v>954000</v>
          </cell>
        </row>
        <row r="238">
          <cell r="A238">
            <v>2003</v>
          </cell>
          <cell r="B238">
            <v>2</v>
          </cell>
          <cell r="C238">
            <v>3</v>
          </cell>
          <cell r="D238">
            <v>180</v>
          </cell>
          <cell r="E238">
            <v>1</v>
          </cell>
          <cell r="F238" t="str">
            <v>TJS</v>
          </cell>
          <cell r="G238">
            <v>36</v>
          </cell>
          <cell r="H238">
            <v>1000</v>
          </cell>
          <cell r="I238">
            <v>1</v>
          </cell>
          <cell r="J238" t="str">
            <v>ГАКБ "Точиксодиротбонк"</v>
          </cell>
          <cell r="K238">
            <v>36000</v>
          </cell>
          <cell r="L238">
            <v>1000</v>
          </cell>
          <cell r="M238">
            <v>1</v>
          </cell>
          <cell r="N238">
            <v>36000</v>
          </cell>
        </row>
        <row r="239">
          <cell r="A239">
            <v>2003</v>
          </cell>
          <cell r="B239">
            <v>2</v>
          </cell>
          <cell r="C239">
            <v>3</v>
          </cell>
          <cell r="D239">
            <v>180</v>
          </cell>
          <cell r="E239">
            <v>1</v>
          </cell>
          <cell r="F239" t="str">
            <v>TJS</v>
          </cell>
          <cell r="G239">
            <v>36</v>
          </cell>
          <cell r="H239">
            <v>6000</v>
          </cell>
          <cell r="I239">
            <v>1</v>
          </cell>
          <cell r="J239" t="str">
            <v>ГАКБ "Точиксодиротбонк"</v>
          </cell>
          <cell r="K239">
            <v>216000</v>
          </cell>
          <cell r="L239">
            <v>6000</v>
          </cell>
          <cell r="M239">
            <v>1</v>
          </cell>
          <cell r="N239">
            <v>216000</v>
          </cell>
        </row>
        <row r="240">
          <cell r="A240">
            <v>2003</v>
          </cell>
          <cell r="B240">
            <v>2</v>
          </cell>
          <cell r="C240">
            <v>1</v>
          </cell>
          <cell r="D240">
            <v>300</v>
          </cell>
          <cell r="E240">
            <v>1</v>
          </cell>
          <cell r="F240" t="str">
            <v>TJS</v>
          </cell>
          <cell r="G240">
            <v>30</v>
          </cell>
          <cell r="H240">
            <v>50000</v>
          </cell>
          <cell r="I240">
            <v>1</v>
          </cell>
          <cell r="J240" t="str">
            <v>ГАКБ "Точиксодиротбонк"</v>
          </cell>
          <cell r="K240">
            <v>1500000</v>
          </cell>
          <cell r="L240">
            <v>50000</v>
          </cell>
          <cell r="M240">
            <v>1</v>
          </cell>
          <cell r="N240">
            <v>1500000</v>
          </cell>
        </row>
        <row r="241">
          <cell r="A241">
            <v>2003</v>
          </cell>
          <cell r="B241">
            <v>2</v>
          </cell>
          <cell r="C241">
            <v>1</v>
          </cell>
          <cell r="D241">
            <v>150</v>
          </cell>
          <cell r="E241">
            <v>2</v>
          </cell>
          <cell r="F241" t="str">
            <v>TJS</v>
          </cell>
          <cell r="G241">
            <v>48</v>
          </cell>
          <cell r="H241">
            <v>500</v>
          </cell>
          <cell r="I241">
            <v>1</v>
          </cell>
          <cell r="J241" t="str">
            <v>ГАКБ "Точиксодиротбонк"</v>
          </cell>
          <cell r="K241">
            <v>24000</v>
          </cell>
          <cell r="L241">
            <v>500</v>
          </cell>
          <cell r="M241">
            <v>1</v>
          </cell>
          <cell r="N241">
            <v>24000</v>
          </cell>
        </row>
        <row r="242">
          <cell r="A242">
            <v>2003</v>
          </cell>
          <cell r="B242">
            <v>2</v>
          </cell>
          <cell r="C242">
            <v>1</v>
          </cell>
          <cell r="D242">
            <v>240</v>
          </cell>
          <cell r="E242">
            <v>2</v>
          </cell>
          <cell r="F242" t="str">
            <v>TJS</v>
          </cell>
          <cell r="G242">
            <v>48</v>
          </cell>
          <cell r="H242">
            <v>3000</v>
          </cell>
          <cell r="I242">
            <v>1</v>
          </cell>
          <cell r="J242" t="str">
            <v>ГАКБ "Точиксодиротбонк"</v>
          </cell>
          <cell r="K242">
            <v>144000</v>
          </cell>
          <cell r="L242">
            <v>3000</v>
          </cell>
          <cell r="M242">
            <v>1</v>
          </cell>
          <cell r="N242">
            <v>144000</v>
          </cell>
        </row>
        <row r="243">
          <cell r="A243">
            <v>2003</v>
          </cell>
          <cell r="B243">
            <v>2</v>
          </cell>
          <cell r="C243">
            <v>1</v>
          </cell>
          <cell r="D243">
            <v>180</v>
          </cell>
          <cell r="E243">
            <v>2</v>
          </cell>
          <cell r="F243" t="str">
            <v>TJS</v>
          </cell>
          <cell r="G243">
            <v>48</v>
          </cell>
          <cell r="H243">
            <v>1500</v>
          </cell>
          <cell r="I243">
            <v>1</v>
          </cell>
          <cell r="J243" t="str">
            <v>ГАКБ "Точиксодиротбонк"</v>
          </cell>
          <cell r="K243">
            <v>72000</v>
          </cell>
          <cell r="L243">
            <v>1500</v>
          </cell>
          <cell r="M243">
            <v>1</v>
          </cell>
          <cell r="N243">
            <v>72000</v>
          </cell>
        </row>
        <row r="244">
          <cell r="A244">
            <v>2003</v>
          </cell>
          <cell r="B244">
            <v>2</v>
          </cell>
          <cell r="C244">
            <v>1</v>
          </cell>
          <cell r="D244">
            <v>240</v>
          </cell>
          <cell r="E244">
            <v>2</v>
          </cell>
          <cell r="F244" t="str">
            <v>TJS</v>
          </cell>
          <cell r="G244">
            <v>48</v>
          </cell>
          <cell r="H244">
            <v>3000</v>
          </cell>
          <cell r="I244">
            <v>1</v>
          </cell>
          <cell r="J244" t="str">
            <v>ГАКБ "Точиксодиротбонк"</v>
          </cell>
          <cell r="K244">
            <v>144000</v>
          </cell>
          <cell r="L244">
            <v>3000</v>
          </cell>
          <cell r="M244">
            <v>1</v>
          </cell>
          <cell r="N244">
            <v>144000</v>
          </cell>
        </row>
        <row r="245">
          <cell r="A245">
            <v>2003</v>
          </cell>
          <cell r="B245">
            <v>2</v>
          </cell>
          <cell r="C245">
            <v>1</v>
          </cell>
          <cell r="D245">
            <v>180</v>
          </cell>
          <cell r="E245">
            <v>2</v>
          </cell>
          <cell r="F245" t="str">
            <v>TJS</v>
          </cell>
          <cell r="G245">
            <v>48</v>
          </cell>
          <cell r="H245">
            <v>12000</v>
          </cell>
          <cell r="I245">
            <v>1</v>
          </cell>
          <cell r="J245" t="str">
            <v>ГАКБ "Точиксодиротбонк"</v>
          </cell>
          <cell r="K245">
            <v>576000</v>
          </cell>
          <cell r="L245">
            <v>12000</v>
          </cell>
          <cell r="M245">
            <v>1</v>
          </cell>
          <cell r="N245">
            <v>576000</v>
          </cell>
        </row>
        <row r="246">
          <cell r="A246">
            <v>2003</v>
          </cell>
          <cell r="B246">
            <v>2</v>
          </cell>
          <cell r="C246">
            <v>1</v>
          </cell>
          <cell r="D246">
            <v>180</v>
          </cell>
          <cell r="E246">
            <v>2</v>
          </cell>
          <cell r="F246" t="str">
            <v>TJS</v>
          </cell>
          <cell r="G246">
            <v>36</v>
          </cell>
          <cell r="H246">
            <v>38000</v>
          </cell>
          <cell r="I246">
            <v>7</v>
          </cell>
          <cell r="J246" t="str">
            <v>ГАКБ "Точиксодиротбонк"</v>
          </cell>
          <cell r="K246">
            <v>1368000</v>
          </cell>
          <cell r="L246">
            <v>38000</v>
          </cell>
          <cell r="M246">
            <v>1</v>
          </cell>
          <cell r="N246">
            <v>1368000</v>
          </cell>
        </row>
        <row r="247">
          <cell r="A247">
            <v>2003</v>
          </cell>
          <cell r="B247">
            <v>2</v>
          </cell>
          <cell r="C247">
            <v>1</v>
          </cell>
          <cell r="D247">
            <v>180</v>
          </cell>
          <cell r="E247">
            <v>2</v>
          </cell>
          <cell r="F247" t="str">
            <v>TJS</v>
          </cell>
          <cell r="G247">
            <v>60</v>
          </cell>
          <cell r="H247">
            <v>5450</v>
          </cell>
          <cell r="I247">
            <v>3</v>
          </cell>
          <cell r="J247" t="str">
            <v>ГАКБ "Точиксодиротбонк"</v>
          </cell>
          <cell r="K247">
            <v>327000</v>
          </cell>
          <cell r="L247">
            <v>5450</v>
          </cell>
          <cell r="M247">
            <v>1</v>
          </cell>
          <cell r="N247">
            <v>327000</v>
          </cell>
        </row>
        <row r="248">
          <cell r="A248">
            <v>2003</v>
          </cell>
          <cell r="B248">
            <v>2</v>
          </cell>
          <cell r="C248">
            <v>3</v>
          </cell>
          <cell r="D248">
            <v>180</v>
          </cell>
          <cell r="E248">
            <v>2</v>
          </cell>
          <cell r="F248" t="str">
            <v>TJS</v>
          </cell>
          <cell r="G248">
            <v>28</v>
          </cell>
          <cell r="H248">
            <v>2000</v>
          </cell>
          <cell r="I248">
            <v>1</v>
          </cell>
          <cell r="J248" t="str">
            <v>ГАКБ "Точиксодиротбонк"</v>
          </cell>
          <cell r="K248">
            <v>56000</v>
          </cell>
          <cell r="L248">
            <v>2000</v>
          </cell>
          <cell r="M248">
            <v>1</v>
          </cell>
          <cell r="N248">
            <v>56000</v>
          </cell>
        </row>
        <row r="249">
          <cell r="A249">
            <v>2003</v>
          </cell>
          <cell r="B249">
            <v>2</v>
          </cell>
          <cell r="C249">
            <v>3</v>
          </cell>
          <cell r="D249">
            <v>180</v>
          </cell>
          <cell r="E249">
            <v>2</v>
          </cell>
          <cell r="F249" t="str">
            <v>TJS</v>
          </cell>
          <cell r="G249">
            <v>28</v>
          </cell>
          <cell r="H249">
            <v>5000</v>
          </cell>
          <cell r="I249">
            <v>1</v>
          </cell>
          <cell r="J249" t="str">
            <v>ГАКБ "Точиксодиротбонк"</v>
          </cell>
          <cell r="K249">
            <v>140000</v>
          </cell>
          <cell r="L249">
            <v>5000</v>
          </cell>
          <cell r="M249">
            <v>1</v>
          </cell>
          <cell r="N249">
            <v>140000</v>
          </cell>
        </row>
        <row r="250">
          <cell r="A250">
            <v>2003</v>
          </cell>
          <cell r="B250">
            <v>2</v>
          </cell>
          <cell r="C250">
            <v>1</v>
          </cell>
          <cell r="D250">
            <v>120</v>
          </cell>
          <cell r="E250">
            <v>2</v>
          </cell>
          <cell r="F250" t="str">
            <v>TJS</v>
          </cell>
          <cell r="G250">
            <v>48</v>
          </cell>
          <cell r="H250">
            <v>7700</v>
          </cell>
          <cell r="I250">
            <v>1</v>
          </cell>
          <cell r="J250" t="str">
            <v>ГАКБ "Точиксодиротбонк"</v>
          </cell>
          <cell r="K250">
            <v>369600</v>
          </cell>
          <cell r="L250">
            <v>7700</v>
          </cell>
          <cell r="M250">
            <v>1</v>
          </cell>
          <cell r="N250">
            <v>369600</v>
          </cell>
        </row>
        <row r="251">
          <cell r="A251">
            <v>2003</v>
          </cell>
          <cell r="B251">
            <v>2</v>
          </cell>
          <cell r="C251">
            <v>3</v>
          </cell>
          <cell r="D251">
            <v>180</v>
          </cell>
          <cell r="E251">
            <v>1</v>
          </cell>
          <cell r="F251" t="str">
            <v>USD</v>
          </cell>
          <cell r="G251">
            <v>25</v>
          </cell>
          <cell r="H251">
            <v>132507</v>
          </cell>
          <cell r="I251">
            <v>1</v>
          </cell>
          <cell r="J251" t="str">
            <v>ГАКБ "Точиксодиротбонк"</v>
          </cell>
          <cell r="K251">
            <v>3312675</v>
          </cell>
          <cell r="L251">
            <v>133727.45921052631</v>
          </cell>
          <cell r="M251">
            <v>1.0092105263157896</v>
          </cell>
          <cell r="N251">
            <v>3343186.480263158</v>
          </cell>
        </row>
        <row r="252">
          <cell r="A252">
            <v>2003</v>
          </cell>
          <cell r="B252">
            <v>2</v>
          </cell>
          <cell r="C252">
            <v>3</v>
          </cell>
          <cell r="D252">
            <v>360</v>
          </cell>
          <cell r="E252">
            <v>1</v>
          </cell>
          <cell r="F252" t="str">
            <v>USD</v>
          </cell>
          <cell r="G252">
            <v>25</v>
          </cell>
          <cell r="H252">
            <v>636610</v>
          </cell>
          <cell r="I252">
            <v>1</v>
          </cell>
          <cell r="J252" t="str">
            <v>ГАКБ "Точиксодиротбонк"</v>
          </cell>
          <cell r="K252">
            <v>15915250</v>
          </cell>
          <cell r="L252">
            <v>642473.5131578948</v>
          </cell>
          <cell r="M252">
            <v>1.0092105263157896</v>
          </cell>
          <cell r="N252">
            <v>16061837.828947369</v>
          </cell>
        </row>
        <row r="253">
          <cell r="A253">
            <v>2003</v>
          </cell>
          <cell r="B253">
            <v>2</v>
          </cell>
          <cell r="C253">
            <v>3</v>
          </cell>
          <cell r="D253">
            <v>540</v>
          </cell>
          <cell r="E253">
            <v>1</v>
          </cell>
          <cell r="F253" t="str">
            <v>USD</v>
          </cell>
          <cell r="G253">
            <v>22</v>
          </cell>
          <cell r="H253">
            <v>104312</v>
          </cell>
          <cell r="I253">
            <v>1</v>
          </cell>
          <cell r="J253" t="str">
            <v>ГАКБ "Точиксодиротбонк"</v>
          </cell>
          <cell r="K253">
            <v>2294864</v>
          </cell>
          <cell r="L253">
            <v>105272.76842105263</v>
          </cell>
          <cell r="M253">
            <v>1.0092105263157896</v>
          </cell>
          <cell r="N253">
            <v>2316000.905263158</v>
          </cell>
        </row>
        <row r="254">
          <cell r="A254">
            <v>2003</v>
          </cell>
          <cell r="B254">
            <v>2</v>
          </cell>
          <cell r="C254">
            <v>3</v>
          </cell>
          <cell r="D254">
            <v>180</v>
          </cell>
          <cell r="E254">
            <v>1</v>
          </cell>
          <cell r="F254" t="str">
            <v>USD</v>
          </cell>
          <cell r="G254">
            <v>22</v>
          </cell>
          <cell r="H254">
            <v>460200</v>
          </cell>
          <cell r="I254">
            <v>1</v>
          </cell>
          <cell r="J254" t="str">
            <v>ГАКБ "Точиксодиротбонк"</v>
          </cell>
          <cell r="K254">
            <v>10124400</v>
          </cell>
          <cell r="L254">
            <v>464438.68421052635</v>
          </cell>
          <cell r="M254">
            <v>1.0092105263157896</v>
          </cell>
          <cell r="N254">
            <v>10217651.05263158</v>
          </cell>
        </row>
        <row r="255">
          <cell r="A255">
            <v>2003</v>
          </cell>
          <cell r="B255">
            <v>2</v>
          </cell>
          <cell r="C255">
            <v>3</v>
          </cell>
          <cell r="D255">
            <v>360</v>
          </cell>
          <cell r="E255">
            <v>1</v>
          </cell>
          <cell r="F255" t="str">
            <v>USD</v>
          </cell>
          <cell r="G255">
            <v>25</v>
          </cell>
          <cell r="H255">
            <v>71714</v>
          </cell>
          <cell r="I255">
            <v>1</v>
          </cell>
          <cell r="J255" t="str">
            <v>ГАКБ "Точиксодиротбонк"</v>
          </cell>
          <cell r="K255">
            <v>1792850</v>
          </cell>
          <cell r="L255">
            <v>72374.52368421054</v>
          </cell>
          <cell r="M255">
            <v>1.0092105263157896</v>
          </cell>
          <cell r="N255">
            <v>1809363.0921052634</v>
          </cell>
        </row>
        <row r="256">
          <cell r="A256">
            <v>2003</v>
          </cell>
          <cell r="B256">
            <v>2</v>
          </cell>
          <cell r="C256">
            <v>3</v>
          </cell>
          <cell r="D256">
            <v>360</v>
          </cell>
          <cell r="E256">
            <v>1</v>
          </cell>
          <cell r="F256" t="str">
            <v>USD</v>
          </cell>
          <cell r="G256">
            <v>20</v>
          </cell>
          <cell r="H256">
            <v>306800</v>
          </cell>
          <cell r="I256">
            <v>1</v>
          </cell>
          <cell r="J256" t="str">
            <v>ГАКБ "Точиксодиротбонк"</v>
          </cell>
          <cell r="K256">
            <v>6136000</v>
          </cell>
          <cell r="L256">
            <v>309625.7894736842</v>
          </cell>
          <cell r="M256">
            <v>1.0092105263157896</v>
          </cell>
          <cell r="N256">
            <v>6192515.7894736845</v>
          </cell>
        </row>
        <row r="257">
          <cell r="A257">
            <v>2003</v>
          </cell>
          <cell r="B257">
            <v>2</v>
          </cell>
          <cell r="C257">
            <v>1</v>
          </cell>
          <cell r="D257">
            <v>180</v>
          </cell>
          <cell r="E257">
            <v>1</v>
          </cell>
          <cell r="F257" t="str">
            <v>USD</v>
          </cell>
          <cell r="G257">
            <v>25</v>
          </cell>
          <cell r="H257">
            <v>64192</v>
          </cell>
          <cell r="I257">
            <v>1</v>
          </cell>
          <cell r="J257" t="str">
            <v>ГАКБ "Точиксодиротбонк"</v>
          </cell>
          <cell r="K257">
            <v>1604800</v>
          </cell>
          <cell r="L257">
            <v>64783.24210526316</v>
          </cell>
          <cell r="M257">
            <v>1.0092105263157896</v>
          </cell>
          <cell r="N257">
            <v>1619581.052631579</v>
          </cell>
        </row>
        <row r="258">
          <cell r="A258">
            <v>2003</v>
          </cell>
          <cell r="B258">
            <v>2</v>
          </cell>
          <cell r="C258">
            <v>1</v>
          </cell>
          <cell r="D258">
            <v>360</v>
          </cell>
          <cell r="E258">
            <v>1</v>
          </cell>
          <cell r="F258" t="str">
            <v>USD</v>
          </cell>
          <cell r="G258">
            <v>16</v>
          </cell>
          <cell r="H258">
            <v>613600</v>
          </cell>
          <cell r="I258">
            <v>1</v>
          </cell>
          <cell r="J258" t="str">
            <v>ГАКБ "Точиксодиротбонк"</v>
          </cell>
          <cell r="K258">
            <v>9817600</v>
          </cell>
          <cell r="L258">
            <v>619251.5789473684</v>
          </cell>
          <cell r="M258">
            <v>1.0092105263157896</v>
          </cell>
          <cell r="N258">
            <v>9908025.263157895</v>
          </cell>
        </row>
        <row r="259">
          <cell r="A259">
            <v>2003</v>
          </cell>
          <cell r="B259">
            <v>2</v>
          </cell>
          <cell r="C259">
            <v>5</v>
          </cell>
          <cell r="D259">
            <v>60</v>
          </cell>
          <cell r="E259">
            <v>1</v>
          </cell>
          <cell r="F259" t="str">
            <v>USD</v>
          </cell>
          <cell r="G259">
            <v>30</v>
          </cell>
          <cell r="H259">
            <v>151590</v>
          </cell>
          <cell r="I259">
            <v>1</v>
          </cell>
          <cell r="J259" t="str">
            <v>ГАКБ "Точиксодиротбонк"</v>
          </cell>
          <cell r="K259">
            <v>4547700</v>
          </cell>
          <cell r="L259">
            <v>152986.22368421053</v>
          </cell>
          <cell r="M259">
            <v>1.0092105263157896</v>
          </cell>
          <cell r="N259">
            <v>4589586.710526316</v>
          </cell>
        </row>
        <row r="260">
          <cell r="A260">
            <v>2003</v>
          </cell>
          <cell r="B260">
            <v>2</v>
          </cell>
          <cell r="C260">
            <v>5</v>
          </cell>
          <cell r="D260">
            <v>210</v>
          </cell>
          <cell r="E260">
            <v>1</v>
          </cell>
          <cell r="F260" t="str">
            <v>USD</v>
          </cell>
          <cell r="G260">
            <v>24</v>
          </cell>
          <cell r="H260">
            <v>184080</v>
          </cell>
          <cell r="I260">
            <v>1</v>
          </cell>
          <cell r="J260" t="str">
            <v>ГАКБ "Точиксодиротбонк"</v>
          </cell>
          <cell r="K260">
            <v>4417920</v>
          </cell>
          <cell r="L260">
            <v>185775.47368421053</v>
          </cell>
          <cell r="M260">
            <v>1.0092105263157896</v>
          </cell>
          <cell r="N260">
            <v>4458611.368421053</v>
          </cell>
        </row>
        <row r="261">
          <cell r="A261">
            <v>2003</v>
          </cell>
          <cell r="B261">
            <v>2</v>
          </cell>
          <cell r="C261">
            <v>1</v>
          </cell>
          <cell r="D261">
            <v>210</v>
          </cell>
          <cell r="E261">
            <v>2</v>
          </cell>
          <cell r="F261" t="str">
            <v>USD</v>
          </cell>
          <cell r="G261">
            <v>27</v>
          </cell>
          <cell r="H261">
            <v>92040</v>
          </cell>
          <cell r="I261">
            <v>1</v>
          </cell>
          <cell r="J261" t="str">
            <v>ГАКБ "Точиксодиротбонк"</v>
          </cell>
          <cell r="K261">
            <v>2485080</v>
          </cell>
          <cell r="L261">
            <v>92887.73684210527</v>
          </cell>
          <cell r="M261">
            <v>1.0092105263157896</v>
          </cell>
          <cell r="N261">
            <v>2507968.8947368423</v>
          </cell>
        </row>
        <row r="262">
          <cell r="A262">
            <v>2003</v>
          </cell>
          <cell r="B262">
            <v>2</v>
          </cell>
          <cell r="C262">
            <v>1</v>
          </cell>
          <cell r="D262">
            <v>360</v>
          </cell>
          <cell r="E262">
            <v>1</v>
          </cell>
          <cell r="F262" t="str">
            <v>TJS</v>
          </cell>
          <cell r="G262">
            <v>42</v>
          </cell>
          <cell r="H262">
            <v>20000</v>
          </cell>
          <cell r="I262">
            <v>1</v>
          </cell>
          <cell r="J262" t="str">
            <v>ГСБ РТ "Амонатбонк"</v>
          </cell>
          <cell r="K262">
            <v>840000</v>
          </cell>
          <cell r="L262">
            <v>20000</v>
          </cell>
          <cell r="M262">
            <v>1</v>
          </cell>
          <cell r="N262">
            <v>840000</v>
          </cell>
        </row>
        <row r="263">
          <cell r="A263">
            <v>2003</v>
          </cell>
          <cell r="B263">
            <v>2</v>
          </cell>
          <cell r="C263">
            <v>1</v>
          </cell>
          <cell r="D263">
            <v>1800</v>
          </cell>
          <cell r="E263">
            <v>2</v>
          </cell>
          <cell r="F263" t="str">
            <v>TJS</v>
          </cell>
          <cell r="G263">
            <v>0</v>
          </cell>
          <cell r="H263">
            <v>13000</v>
          </cell>
          <cell r="I263">
            <v>1</v>
          </cell>
          <cell r="J263" t="str">
            <v>ГСБ РТ "Амонатбонк"</v>
          </cell>
          <cell r="K263">
            <v>0</v>
          </cell>
          <cell r="L263">
            <v>13000</v>
          </cell>
          <cell r="M263">
            <v>1</v>
          </cell>
          <cell r="N263">
            <v>0</v>
          </cell>
        </row>
        <row r="264">
          <cell r="A264">
            <v>2003</v>
          </cell>
          <cell r="B264">
            <v>2</v>
          </cell>
          <cell r="C264">
            <v>1</v>
          </cell>
          <cell r="D264">
            <v>60</v>
          </cell>
          <cell r="E264">
            <v>2</v>
          </cell>
          <cell r="F264" t="str">
            <v>TJS</v>
          </cell>
          <cell r="G264">
            <v>36</v>
          </cell>
          <cell r="H264">
            <v>3000</v>
          </cell>
          <cell r="I264">
            <v>3</v>
          </cell>
          <cell r="J264" t="str">
            <v>КБ "Сомон-банк"</v>
          </cell>
          <cell r="K264">
            <v>108000</v>
          </cell>
          <cell r="L264">
            <v>3000</v>
          </cell>
          <cell r="M264">
            <v>1</v>
          </cell>
          <cell r="N264">
            <v>108000</v>
          </cell>
        </row>
        <row r="265">
          <cell r="A265">
            <v>2003</v>
          </cell>
          <cell r="B265">
            <v>2</v>
          </cell>
          <cell r="C265">
            <v>1</v>
          </cell>
          <cell r="D265">
            <v>180</v>
          </cell>
          <cell r="E265">
            <v>2</v>
          </cell>
          <cell r="F265" t="str">
            <v>TJS</v>
          </cell>
          <cell r="G265">
            <v>30</v>
          </cell>
          <cell r="H265">
            <v>3200</v>
          </cell>
          <cell r="I265">
            <v>1</v>
          </cell>
          <cell r="J265" t="str">
            <v>КТОО "Фонон"</v>
          </cell>
          <cell r="K265">
            <v>96000</v>
          </cell>
          <cell r="L265">
            <v>3200</v>
          </cell>
          <cell r="M265">
            <v>1</v>
          </cell>
          <cell r="N265">
            <v>96000</v>
          </cell>
        </row>
        <row r="266">
          <cell r="A266">
            <v>2003</v>
          </cell>
          <cell r="B266">
            <v>2</v>
          </cell>
          <cell r="C266">
            <v>5</v>
          </cell>
          <cell r="D266">
            <v>180</v>
          </cell>
          <cell r="E266">
            <v>2</v>
          </cell>
          <cell r="F266" t="str">
            <v>TJS</v>
          </cell>
          <cell r="G266">
            <v>24</v>
          </cell>
          <cell r="H266">
            <v>10000</v>
          </cell>
          <cell r="I266">
            <v>1</v>
          </cell>
          <cell r="J266" t="str">
            <v>КТОО "Фонон"</v>
          </cell>
          <cell r="K266">
            <v>240000</v>
          </cell>
          <cell r="L266">
            <v>10000</v>
          </cell>
          <cell r="M266">
            <v>1</v>
          </cell>
          <cell r="N266">
            <v>240000</v>
          </cell>
        </row>
        <row r="267">
          <cell r="A267">
            <v>2003</v>
          </cell>
          <cell r="B267">
            <v>2</v>
          </cell>
          <cell r="C267">
            <v>1</v>
          </cell>
          <cell r="D267">
            <v>30</v>
          </cell>
          <cell r="E267">
            <v>1</v>
          </cell>
          <cell r="F267" t="str">
            <v>TJS</v>
          </cell>
          <cell r="G267">
            <v>12</v>
          </cell>
          <cell r="H267">
            <v>4068160</v>
          </cell>
          <cell r="I267">
            <v>5</v>
          </cell>
          <cell r="J267" t="str">
            <v>СЛТ АКБ "Ист-Кредитбанк"</v>
          </cell>
          <cell r="K267">
            <v>48817920</v>
          </cell>
          <cell r="L267">
            <v>4068160</v>
          </cell>
          <cell r="M267">
            <v>1</v>
          </cell>
          <cell r="N267">
            <v>48817920</v>
          </cell>
        </row>
        <row r="268">
          <cell r="A268">
            <v>2003</v>
          </cell>
          <cell r="B268">
            <v>2</v>
          </cell>
          <cell r="C268">
            <v>1</v>
          </cell>
          <cell r="D268">
            <v>60</v>
          </cell>
          <cell r="E268">
            <v>1</v>
          </cell>
          <cell r="F268" t="str">
            <v>TJS</v>
          </cell>
          <cell r="G268">
            <v>36</v>
          </cell>
          <cell r="H268">
            <v>10000</v>
          </cell>
          <cell r="I268">
            <v>1</v>
          </cell>
          <cell r="J268" t="str">
            <v>СТК "Центрально-Азиатский банк"</v>
          </cell>
          <cell r="K268">
            <v>360000</v>
          </cell>
          <cell r="L268">
            <v>10000</v>
          </cell>
          <cell r="M268">
            <v>1</v>
          </cell>
          <cell r="N268">
            <v>360000</v>
          </cell>
        </row>
        <row r="269">
          <cell r="A269">
            <v>2003</v>
          </cell>
          <cell r="B269">
            <v>2</v>
          </cell>
          <cell r="C269">
            <v>1</v>
          </cell>
          <cell r="D269">
            <v>60</v>
          </cell>
          <cell r="E269">
            <v>2</v>
          </cell>
          <cell r="F269" t="str">
            <v>TJS</v>
          </cell>
          <cell r="G269">
            <v>36</v>
          </cell>
          <cell r="H269">
            <v>6360</v>
          </cell>
          <cell r="I269">
            <v>1</v>
          </cell>
          <cell r="J269" t="str">
            <v>СТК "Центрально-Азиатский банк"</v>
          </cell>
          <cell r="K269">
            <v>228960</v>
          </cell>
          <cell r="L269">
            <v>6360</v>
          </cell>
          <cell r="M269">
            <v>1</v>
          </cell>
          <cell r="N269">
            <v>228960</v>
          </cell>
        </row>
        <row r="270">
          <cell r="A270">
            <v>2003</v>
          </cell>
          <cell r="B270">
            <v>2</v>
          </cell>
          <cell r="C270">
            <v>1</v>
          </cell>
          <cell r="D270">
            <v>180</v>
          </cell>
          <cell r="E270">
            <v>2</v>
          </cell>
          <cell r="F270" t="str">
            <v>TJS</v>
          </cell>
          <cell r="G270">
            <v>0</v>
          </cell>
          <cell r="H270">
            <v>350</v>
          </cell>
          <cell r="I270">
            <v>1</v>
          </cell>
          <cell r="J270" t="str">
            <v>СТК "Центрально-Азиатский банк"</v>
          </cell>
          <cell r="K270">
            <v>0</v>
          </cell>
          <cell r="L270">
            <v>350</v>
          </cell>
          <cell r="M270">
            <v>1</v>
          </cell>
          <cell r="N270">
            <v>0</v>
          </cell>
        </row>
        <row r="271">
          <cell r="A271">
            <v>2003</v>
          </cell>
          <cell r="B271">
            <v>2</v>
          </cell>
          <cell r="C271">
            <v>1</v>
          </cell>
          <cell r="D271">
            <v>60</v>
          </cell>
          <cell r="E271">
            <v>1</v>
          </cell>
          <cell r="F271" t="str">
            <v>TJS</v>
          </cell>
          <cell r="G271">
            <v>12</v>
          </cell>
          <cell r="H271">
            <v>16260934</v>
          </cell>
          <cell r="I271">
            <v>1</v>
          </cell>
          <cell r="J271" t="str">
            <v>ТАК ПБРР "Таджпромбанк"</v>
          </cell>
          <cell r="K271">
            <v>195131208</v>
          </cell>
          <cell r="L271">
            <v>16260934</v>
          </cell>
          <cell r="M271">
            <v>1</v>
          </cell>
          <cell r="N271">
            <v>195131208</v>
          </cell>
        </row>
        <row r="272">
          <cell r="A272">
            <v>2003</v>
          </cell>
          <cell r="B272">
            <v>2</v>
          </cell>
          <cell r="C272">
            <v>1</v>
          </cell>
          <cell r="D272">
            <v>90</v>
          </cell>
          <cell r="E272">
            <v>1</v>
          </cell>
          <cell r="F272" t="str">
            <v>TJS</v>
          </cell>
          <cell r="G272">
            <v>24</v>
          </cell>
          <cell r="H272">
            <v>215000</v>
          </cell>
          <cell r="I272">
            <v>3</v>
          </cell>
          <cell r="J272" t="str">
            <v>ТАК ПБРР "Таджпромбанк"</v>
          </cell>
          <cell r="K272">
            <v>5160000</v>
          </cell>
          <cell r="L272">
            <v>215000</v>
          </cell>
          <cell r="M272">
            <v>1</v>
          </cell>
          <cell r="N272">
            <v>5160000</v>
          </cell>
        </row>
        <row r="273">
          <cell r="A273">
            <v>2003</v>
          </cell>
          <cell r="B273">
            <v>2</v>
          </cell>
          <cell r="C273">
            <v>1</v>
          </cell>
          <cell r="D273">
            <v>90</v>
          </cell>
          <cell r="E273">
            <v>2</v>
          </cell>
          <cell r="F273" t="str">
            <v>TJS</v>
          </cell>
          <cell r="G273">
            <v>24</v>
          </cell>
          <cell r="H273">
            <v>60000</v>
          </cell>
          <cell r="I273">
            <v>1</v>
          </cell>
          <cell r="J273" t="str">
            <v>ТАК ПБРР "Таджпромбанк"</v>
          </cell>
          <cell r="K273">
            <v>1440000</v>
          </cell>
          <cell r="L273">
            <v>60000</v>
          </cell>
          <cell r="M273">
            <v>1</v>
          </cell>
          <cell r="N273">
            <v>1440000</v>
          </cell>
        </row>
        <row r="274">
          <cell r="A274">
            <v>2003</v>
          </cell>
          <cell r="B274">
            <v>2</v>
          </cell>
          <cell r="C274">
            <v>1</v>
          </cell>
          <cell r="D274">
            <v>360</v>
          </cell>
          <cell r="E274">
            <v>1</v>
          </cell>
          <cell r="F274" t="str">
            <v>TJS</v>
          </cell>
          <cell r="G274">
            <v>36</v>
          </cell>
          <cell r="H274">
            <v>20000</v>
          </cell>
          <cell r="I274">
            <v>1</v>
          </cell>
          <cell r="J274" t="str">
            <v>ТАК ПСБ "Ориёнбанк"</v>
          </cell>
          <cell r="K274">
            <v>720000</v>
          </cell>
          <cell r="L274">
            <v>20000</v>
          </cell>
          <cell r="M274">
            <v>1</v>
          </cell>
          <cell r="N274">
            <v>720000</v>
          </cell>
        </row>
        <row r="275">
          <cell r="A275">
            <v>2003</v>
          </cell>
          <cell r="B275">
            <v>2</v>
          </cell>
          <cell r="C275">
            <v>1</v>
          </cell>
          <cell r="D275">
            <v>7</v>
          </cell>
          <cell r="E275">
            <v>1</v>
          </cell>
          <cell r="F275" t="str">
            <v>TJS</v>
          </cell>
          <cell r="G275">
            <v>28</v>
          </cell>
          <cell r="H275">
            <v>10000</v>
          </cell>
          <cell r="I275">
            <v>1</v>
          </cell>
          <cell r="J275" t="str">
            <v>ТАК ПСБ "Ориёнбанк"</v>
          </cell>
          <cell r="K275">
            <v>280000</v>
          </cell>
          <cell r="L275">
            <v>10000</v>
          </cell>
          <cell r="M275">
            <v>1</v>
          </cell>
          <cell r="N275">
            <v>280000</v>
          </cell>
        </row>
        <row r="276">
          <cell r="A276">
            <v>2003</v>
          </cell>
          <cell r="B276">
            <v>2</v>
          </cell>
          <cell r="C276">
            <v>1</v>
          </cell>
          <cell r="D276">
            <v>32</v>
          </cell>
          <cell r="E276">
            <v>1</v>
          </cell>
          <cell r="F276" t="str">
            <v>TJS</v>
          </cell>
          <cell r="G276">
            <v>24</v>
          </cell>
          <cell r="H276">
            <v>50000</v>
          </cell>
          <cell r="I276">
            <v>1</v>
          </cell>
          <cell r="J276" t="str">
            <v>ТАК ПСБ "Ориёнбанк"</v>
          </cell>
          <cell r="K276">
            <v>1200000</v>
          </cell>
          <cell r="L276">
            <v>50000</v>
          </cell>
          <cell r="M276">
            <v>1</v>
          </cell>
          <cell r="N276">
            <v>1200000</v>
          </cell>
        </row>
        <row r="277">
          <cell r="A277">
            <v>2003</v>
          </cell>
          <cell r="B277">
            <v>2</v>
          </cell>
          <cell r="C277">
            <v>1</v>
          </cell>
          <cell r="D277">
            <v>53</v>
          </cell>
          <cell r="E277">
            <v>1</v>
          </cell>
          <cell r="F277" t="str">
            <v>TJS</v>
          </cell>
          <cell r="G277">
            <v>24</v>
          </cell>
          <cell r="H277">
            <v>50000</v>
          </cell>
          <cell r="I277">
            <v>1</v>
          </cell>
          <cell r="J277" t="str">
            <v>ТАК ПСБ "Ориёнбанк"</v>
          </cell>
          <cell r="K277">
            <v>1200000</v>
          </cell>
          <cell r="L277">
            <v>50000</v>
          </cell>
          <cell r="M277">
            <v>1</v>
          </cell>
          <cell r="N277">
            <v>1200000</v>
          </cell>
        </row>
        <row r="278">
          <cell r="A278">
            <v>2003</v>
          </cell>
          <cell r="B278">
            <v>2</v>
          </cell>
          <cell r="C278">
            <v>1</v>
          </cell>
          <cell r="D278">
            <v>50</v>
          </cell>
          <cell r="E278">
            <v>1</v>
          </cell>
          <cell r="F278" t="str">
            <v>TJS</v>
          </cell>
          <cell r="G278">
            <v>28</v>
          </cell>
          <cell r="H278">
            <v>20000</v>
          </cell>
          <cell r="I278">
            <v>1</v>
          </cell>
          <cell r="J278" t="str">
            <v>ТАК ПСБ "Ориёнбанк"</v>
          </cell>
          <cell r="K278">
            <v>560000</v>
          </cell>
          <cell r="L278">
            <v>20000</v>
          </cell>
          <cell r="M278">
            <v>1</v>
          </cell>
          <cell r="N278">
            <v>560000</v>
          </cell>
        </row>
        <row r="279">
          <cell r="A279">
            <v>2003</v>
          </cell>
          <cell r="B279">
            <v>2</v>
          </cell>
          <cell r="C279">
            <v>1</v>
          </cell>
          <cell r="D279">
            <v>49</v>
          </cell>
          <cell r="E279">
            <v>1</v>
          </cell>
          <cell r="F279" t="str">
            <v>TJS</v>
          </cell>
          <cell r="G279">
            <v>28</v>
          </cell>
          <cell r="H279">
            <v>30000</v>
          </cell>
          <cell r="I279">
            <v>1</v>
          </cell>
          <cell r="J279" t="str">
            <v>ТАК ПСБ "Ориёнбанк"</v>
          </cell>
          <cell r="K279">
            <v>840000</v>
          </cell>
          <cell r="L279">
            <v>30000</v>
          </cell>
          <cell r="M279">
            <v>1</v>
          </cell>
          <cell r="N279">
            <v>840000</v>
          </cell>
        </row>
        <row r="280">
          <cell r="A280">
            <v>2003</v>
          </cell>
          <cell r="B280">
            <v>2</v>
          </cell>
          <cell r="C280">
            <v>1</v>
          </cell>
          <cell r="D280">
            <v>66</v>
          </cell>
          <cell r="E280">
            <v>1</v>
          </cell>
          <cell r="F280" t="str">
            <v>TJS</v>
          </cell>
          <cell r="G280">
            <v>28</v>
          </cell>
          <cell r="H280">
            <v>50000</v>
          </cell>
          <cell r="I280">
            <v>1</v>
          </cell>
          <cell r="J280" t="str">
            <v>ТАК ПСБ "Ориёнбанк"</v>
          </cell>
          <cell r="K280">
            <v>1400000</v>
          </cell>
          <cell r="L280">
            <v>50000</v>
          </cell>
          <cell r="M280">
            <v>1</v>
          </cell>
          <cell r="N280">
            <v>1400000</v>
          </cell>
        </row>
        <row r="281">
          <cell r="A281">
            <v>2003</v>
          </cell>
          <cell r="B281">
            <v>2</v>
          </cell>
          <cell r="C281">
            <v>1</v>
          </cell>
          <cell r="D281">
            <v>63</v>
          </cell>
          <cell r="E281">
            <v>1</v>
          </cell>
          <cell r="F281" t="str">
            <v>TJS</v>
          </cell>
          <cell r="G281">
            <v>28</v>
          </cell>
          <cell r="H281">
            <v>50000</v>
          </cell>
          <cell r="I281">
            <v>1</v>
          </cell>
          <cell r="J281" t="str">
            <v>ТАК ПСБ "Ориёнбанк"</v>
          </cell>
          <cell r="K281">
            <v>1400000</v>
          </cell>
          <cell r="L281">
            <v>50000</v>
          </cell>
          <cell r="M281">
            <v>1</v>
          </cell>
          <cell r="N281">
            <v>1400000</v>
          </cell>
        </row>
        <row r="282">
          <cell r="A282">
            <v>2003</v>
          </cell>
          <cell r="B282">
            <v>2</v>
          </cell>
          <cell r="C282">
            <v>1</v>
          </cell>
          <cell r="D282">
            <v>62</v>
          </cell>
          <cell r="E282">
            <v>1</v>
          </cell>
          <cell r="F282" t="str">
            <v>TJS</v>
          </cell>
          <cell r="G282">
            <v>28</v>
          </cell>
          <cell r="H282">
            <v>50000</v>
          </cell>
          <cell r="I282">
            <v>1</v>
          </cell>
          <cell r="J282" t="str">
            <v>ТАК ПСБ "Ориёнбанк"</v>
          </cell>
          <cell r="K282">
            <v>1400000</v>
          </cell>
          <cell r="L282">
            <v>50000</v>
          </cell>
          <cell r="M282">
            <v>1</v>
          </cell>
          <cell r="N282">
            <v>1400000</v>
          </cell>
        </row>
        <row r="283">
          <cell r="A283">
            <v>2003</v>
          </cell>
          <cell r="B283">
            <v>2</v>
          </cell>
          <cell r="C283">
            <v>1</v>
          </cell>
          <cell r="D283">
            <v>52</v>
          </cell>
          <cell r="E283">
            <v>1</v>
          </cell>
          <cell r="F283" t="str">
            <v>TJS</v>
          </cell>
          <cell r="G283">
            <v>28</v>
          </cell>
          <cell r="H283">
            <v>50000</v>
          </cell>
          <cell r="I283">
            <v>1</v>
          </cell>
          <cell r="J283" t="str">
            <v>ТАК ПСБ "Ориёнбанк"</v>
          </cell>
          <cell r="K283">
            <v>1400000</v>
          </cell>
          <cell r="L283">
            <v>50000</v>
          </cell>
          <cell r="M283">
            <v>1</v>
          </cell>
          <cell r="N283">
            <v>1400000</v>
          </cell>
        </row>
        <row r="284">
          <cell r="A284">
            <v>2003</v>
          </cell>
          <cell r="B284">
            <v>2</v>
          </cell>
          <cell r="C284">
            <v>1</v>
          </cell>
          <cell r="D284">
            <v>360</v>
          </cell>
          <cell r="E284">
            <v>1</v>
          </cell>
          <cell r="F284" t="str">
            <v>TJS</v>
          </cell>
          <cell r="G284">
            <v>28</v>
          </cell>
          <cell r="H284">
            <v>2500</v>
          </cell>
          <cell r="I284">
            <v>1</v>
          </cell>
          <cell r="J284" t="str">
            <v>ТАК ПСБ "Ориёнбанк"</v>
          </cell>
          <cell r="K284">
            <v>70000</v>
          </cell>
          <cell r="L284">
            <v>2500</v>
          </cell>
          <cell r="M284">
            <v>1</v>
          </cell>
          <cell r="N284">
            <v>70000</v>
          </cell>
        </row>
        <row r="285">
          <cell r="A285">
            <v>2003</v>
          </cell>
          <cell r="B285">
            <v>2</v>
          </cell>
          <cell r="C285">
            <v>1</v>
          </cell>
          <cell r="D285">
            <v>285</v>
          </cell>
          <cell r="E285">
            <v>1</v>
          </cell>
          <cell r="F285" t="str">
            <v>TJS</v>
          </cell>
          <cell r="G285">
            <v>24</v>
          </cell>
          <cell r="H285">
            <v>50000</v>
          </cell>
          <cell r="I285">
            <v>1</v>
          </cell>
          <cell r="J285" t="str">
            <v>ТАК ПСБ "Ориёнбанк"</v>
          </cell>
          <cell r="K285">
            <v>1200000</v>
          </cell>
          <cell r="L285">
            <v>50000</v>
          </cell>
          <cell r="M285">
            <v>1</v>
          </cell>
          <cell r="N285">
            <v>1200000</v>
          </cell>
        </row>
        <row r="286">
          <cell r="A286">
            <v>2003</v>
          </cell>
          <cell r="B286">
            <v>2</v>
          </cell>
          <cell r="C286">
            <v>1</v>
          </cell>
          <cell r="D286">
            <v>16</v>
          </cell>
          <cell r="E286">
            <v>1</v>
          </cell>
          <cell r="F286" t="str">
            <v>TJS</v>
          </cell>
          <cell r="G286">
            <v>28</v>
          </cell>
          <cell r="H286">
            <v>199928</v>
          </cell>
          <cell r="I286">
            <v>1</v>
          </cell>
          <cell r="J286" t="str">
            <v>ТАК ПСБ "Ориёнбанк"</v>
          </cell>
          <cell r="K286">
            <v>5597984</v>
          </cell>
          <cell r="L286">
            <v>199928</v>
          </cell>
          <cell r="M286">
            <v>1</v>
          </cell>
          <cell r="N286">
            <v>5597984</v>
          </cell>
        </row>
        <row r="287">
          <cell r="A287">
            <v>2003</v>
          </cell>
          <cell r="B287">
            <v>2</v>
          </cell>
          <cell r="C287">
            <v>5</v>
          </cell>
          <cell r="D287">
            <v>180</v>
          </cell>
          <cell r="E287">
            <v>2</v>
          </cell>
          <cell r="F287" t="str">
            <v>TJS</v>
          </cell>
          <cell r="G287">
            <v>24</v>
          </cell>
          <cell r="H287">
            <v>2700000</v>
          </cell>
          <cell r="I287">
            <v>1</v>
          </cell>
          <cell r="J287" t="str">
            <v>ТАК ПСБ "Ориёнбанк"</v>
          </cell>
          <cell r="K287">
            <v>64800000</v>
          </cell>
          <cell r="L287">
            <v>2700000</v>
          </cell>
          <cell r="M287">
            <v>1</v>
          </cell>
          <cell r="N287">
            <v>64800000</v>
          </cell>
        </row>
        <row r="288">
          <cell r="A288">
            <v>2003</v>
          </cell>
          <cell r="B288">
            <v>2</v>
          </cell>
          <cell r="C288">
            <v>5</v>
          </cell>
          <cell r="D288">
            <v>91</v>
          </cell>
          <cell r="E288">
            <v>2</v>
          </cell>
          <cell r="F288" t="str">
            <v>TJS</v>
          </cell>
          <cell r="G288">
            <v>24</v>
          </cell>
          <cell r="H288">
            <v>24800</v>
          </cell>
          <cell r="I288">
            <v>1</v>
          </cell>
          <cell r="J288" t="str">
            <v>ТАК ПСБ "Ориёнбанк"</v>
          </cell>
          <cell r="K288">
            <v>595200</v>
          </cell>
          <cell r="L288">
            <v>24800</v>
          </cell>
          <cell r="M288">
            <v>1</v>
          </cell>
          <cell r="N288">
            <v>595200</v>
          </cell>
        </row>
        <row r="289">
          <cell r="A289">
            <v>2003</v>
          </cell>
          <cell r="B289">
            <v>2</v>
          </cell>
          <cell r="C289">
            <v>1</v>
          </cell>
          <cell r="D289">
            <v>1341</v>
          </cell>
          <cell r="E289">
            <v>2</v>
          </cell>
          <cell r="F289" t="str">
            <v>TJS</v>
          </cell>
          <cell r="G289">
            <v>14</v>
          </cell>
          <cell r="H289">
            <v>10000</v>
          </cell>
          <cell r="I289">
            <v>1</v>
          </cell>
          <cell r="J289" t="str">
            <v>ТАК ПСБ "Ориёнбанк"</v>
          </cell>
          <cell r="K289">
            <v>140000</v>
          </cell>
          <cell r="L289">
            <v>10000</v>
          </cell>
          <cell r="M289">
            <v>1</v>
          </cell>
          <cell r="N289">
            <v>140000</v>
          </cell>
        </row>
        <row r="290">
          <cell r="A290">
            <v>2003</v>
          </cell>
          <cell r="B290">
            <v>2</v>
          </cell>
          <cell r="C290">
            <v>1</v>
          </cell>
          <cell r="D290">
            <v>180</v>
          </cell>
          <cell r="E290">
            <v>2</v>
          </cell>
          <cell r="F290" t="str">
            <v>TJS</v>
          </cell>
          <cell r="G290">
            <v>30</v>
          </cell>
          <cell r="H290">
            <v>21600</v>
          </cell>
          <cell r="I290">
            <v>6</v>
          </cell>
          <cell r="J290" t="str">
            <v>ТАК ПСБ "Ориёнбанк"</v>
          </cell>
          <cell r="K290">
            <v>648000</v>
          </cell>
          <cell r="L290">
            <v>21600</v>
          </cell>
          <cell r="M290">
            <v>1</v>
          </cell>
          <cell r="N290">
            <v>648000</v>
          </cell>
        </row>
        <row r="291">
          <cell r="A291">
            <v>2003</v>
          </cell>
          <cell r="B291">
            <v>2</v>
          </cell>
          <cell r="C291">
            <v>1</v>
          </cell>
          <cell r="D291">
            <v>180</v>
          </cell>
          <cell r="E291">
            <v>2</v>
          </cell>
          <cell r="F291" t="str">
            <v>TJS</v>
          </cell>
          <cell r="G291">
            <v>36</v>
          </cell>
          <cell r="H291">
            <v>26600</v>
          </cell>
          <cell r="I291">
            <v>11</v>
          </cell>
          <cell r="J291" t="str">
            <v>ТАК ПСБ "Ориёнбанк"</v>
          </cell>
          <cell r="K291">
            <v>957600</v>
          </cell>
          <cell r="L291">
            <v>26600</v>
          </cell>
          <cell r="M291">
            <v>1</v>
          </cell>
          <cell r="N291">
            <v>957600</v>
          </cell>
        </row>
        <row r="292">
          <cell r="A292">
            <v>2003</v>
          </cell>
          <cell r="B292">
            <v>2</v>
          </cell>
          <cell r="C292">
            <v>1</v>
          </cell>
          <cell r="D292">
            <v>360</v>
          </cell>
          <cell r="E292">
            <v>2</v>
          </cell>
          <cell r="F292" t="str">
            <v>TJS</v>
          </cell>
          <cell r="G292">
            <v>28</v>
          </cell>
          <cell r="H292">
            <v>5000</v>
          </cell>
          <cell r="I292">
            <v>2</v>
          </cell>
          <cell r="J292" t="str">
            <v>ТАК ПСБ "Ориёнбанк"</v>
          </cell>
          <cell r="K292">
            <v>140000</v>
          </cell>
          <cell r="L292">
            <v>5000</v>
          </cell>
          <cell r="M292">
            <v>1</v>
          </cell>
          <cell r="N292">
            <v>140000</v>
          </cell>
        </row>
        <row r="293">
          <cell r="A293">
            <v>2003</v>
          </cell>
          <cell r="B293">
            <v>2</v>
          </cell>
          <cell r="C293">
            <v>1</v>
          </cell>
          <cell r="D293">
            <v>180</v>
          </cell>
          <cell r="E293">
            <v>2</v>
          </cell>
          <cell r="F293" t="str">
            <v>TJS</v>
          </cell>
          <cell r="G293">
            <v>28</v>
          </cell>
          <cell r="H293">
            <v>2500</v>
          </cell>
          <cell r="I293">
            <v>1</v>
          </cell>
          <cell r="J293" t="str">
            <v>ТАК ПСБ "Ориёнбанк"</v>
          </cell>
          <cell r="K293">
            <v>70000</v>
          </cell>
          <cell r="L293">
            <v>2500</v>
          </cell>
          <cell r="M293">
            <v>1</v>
          </cell>
          <cell r="N293">
            <v>70000</v>
          </cell>
        </row>
        <row r="294">
          <cell r="A294">
            <v>2003</v>
          </cell>
          <cell r="B294">
            <v>2</v>
          </cell>
          <cell r="C294">
            <v>1</v>
          </cell>
          <cell r="D294">
            <v>360</v>
          </cell>
          <cell r="E294">
            <v>2</v>
          </cell>
          <cell r="F294" t="str">
            <v>TJS</v>
          </cell>
          <cell r="G294">
            <v>30</v>
          </cell>
          <cell r="H294">
            <v>10000</v>
          </cell>
          <cell r="I294">
            <v>1</v>
          </cell>
          <cell r="J294" t="str">
            <v>ТАК ПСБ "Ориёнбанк"</v>
          </cell>
          <cell r="K294">
            <v>300000</v>
          </cell>
          <cell r="L294">
            <v>10000</v>
          </cell>
          <cell r="M294">
            <v>1</v>
          </cell>
          <cell r="N294">
            <v>300000</v>
          </cell>
        </row>
        <row r="295">
          <cell r="A295">
            <v>2003</v>
          </cell>
          <cell r="B295">
            <v>2</v>
          </cell>
          <cell r="C295">
            <v>1</v>
          </cell>
          <cell r="D295">
            <v>158</v>
          </cell>
          <cell r="E295">
            <v>2</v>
          </cell>
          <cell r="F295" t="str">
            <v>TJS</v>
          </cell>
          <cell r="G295">
            <v>30</v>
          </cell>
          <cell r="H295">
            <v>4800</v>
          </cell>
          <cell r="I295">
            <v>1</v>
          </cell>
          <cell r="J295" t="str">
            <v>ТАК ПСБ "Ориёнбанк"</v>
          </cell>
          <cell r="K295">
            <v>144000</v>
          </cell>
          <cell r="L295">
            <v>4800</v>
          </cell>
          <cell r="M295">
            <v>1</v>
          </cell>
          <cell r="N295">
            <v>144000</v>
          </cell>
        </row>
        <row r="296">
          <cell r="A296">
            <v>2003</v>
          </cell>
          <cell r="B296">
            <v>2</v>
          </cell>
          <cell r="C296">
            <v>1</v>
          </cell>
          <cell r="D296">
            <v>308</v>
          </cell>
          <cell r="E296">
            <v>2</v>
          </cell>
          <cell r="F296" t="str">
            <v>TJS</v>
          </cell>
          <cell r="G296">
            <v>28</v>
          </cell>
          <cell r="H296">
            <v>105000</v>
          </cell>
          <cell r="I296">
            <v>1</v>
          </cell>
          <cell r="J296" t="str">
            <v>ТАК ПСБ "Ориёнбанк"</v>
          </cell>
          <cell r="K296">
            <v>2940000</v>
          </cell>
          <cell r="L296">
            <v>105000</v>
          </cell>
          <cell r="M296">
            <v>1</v>
          </cell>
          <cell r="N296">
            <v>2940000</v>
          </cell>
        </row>
        <row r="297">
          <cell r="A297">
            <v>2003</v>
          </cell>
          <cell r="B297">
            <v>2</v>
          </cell>
          <cell r="C297">
            <v>1</v>
          </cell>
          <cell r="D297">
            <v>278</v>
          </cell>
          <cell r="E297">
            <v>2</v>
          </cell>
          <cell r="F297" t="str">
            <v>TJS</v>
          </cell>
          <cell r="G297">
            <v>30</v>
          </cell>
          <cell r="H297">
            <v>22500</v>
          </cell>
          <cell r="I297">
            <v>1</v>
          </cell>
          <cell r="J297" t="str">
            <v>ТАК ПСБ "Ориёнбанк"</v>
          </cell>
          <cell r="K297">
            <v>675000</v>
          </cell>
          <cell r="L297">
            <v>22500</v>
          </cell>
          <cell r="M297">
            <v>1</v>
          </cell>
          <cell r="N297">
            <v>675000</v>
          </cell>
        </row>
        <row r="298">
          <cell r="A298">
            <v>2003</v>
          </cell>
          <cell r="B298">
            <v>2</v>
          </cell>
          <cell r="C298">
            <v>1</v>
          </cell>
          <cell r="D298">
            <v>304</v>
          </cell>
          <cell r="E298">
            <v>2</v>
          </cell>
          <cell r="F298" t="str">
            <v>TJS</v>
          </cell>
          <cell r="G298">
            <v>28</v>
          </cell>
          <cell r="H298">
            <v>22500</v>
          </cell>
          <cell r="I298">
            <v>1</v>
          </cell>
          <cell r="J298" t="str">
            <v>ТАК ПСБ "Ориёнбанк"</v>
          </cell>
          <cell r="K298">
            <v>630000</v>
          </cell>
          <cell r="L298">
            <v>22500</v>
          </cell>
          <cell r="M298">
            <v>1</v>
          </cell>
          <cell r="N298">
            <v>630000</v>
          </cell>
        </row>
        <row r="299">
          <cell r="A299">
            <v>2003</v>
          </cell>
          <cell r="B299">
            <v>2</v>
          </cell>
          <cell r="C299">
            <v>1</v>
          </cell>
          <cell r="D299">
            <v>360</v>
          </cell>
          <cell r="E299">
            <v>2</v>
          </cell>
          <cell r="F299" t="str">
            <v>TJS</v>
          </cell>
          <cell r="G299">
            <v>36</v>
          </cell>
          <cell r="H299">
            <v>1200</v>
          </cell>
          <cell r="I299">
            <v>1</v>
          </cell>
          <cell r="J299" t="str">
            <v>ТАК ПСБ "Ориёнбанк"</v>
          </cell>
          <cell r="K299">
            <v>43200</v>
          </cell>
          <cell r="L299">
            <v>1200</v>
          </cell>
          <cell r="M299">
            <v>1</v>
          </cell>
          <cell r="N299">
            <v>43200</v>
          </cell>
        </row>
        <row r="300">
          <cell r="A300">
            <v>2003</v>
          </cell>
          <cell r="B300">
            <v>2</v>
          </cell>
          <cell r="C300">
            <v>1</v>
          </cell>
          <cell r="D300">
            <v>188</v>
          </cell>
          <cell r="E300">
            <v>2</v>
          </cell>
          <cell r="F300" t="str">
            <v>TJS</v>
          </cell>
          <cell r="G300">
            <v>42</v>
          </cell>
          <cell r="H300">
            <v>2500</v>
          </cell>
          <cell r="I300">
            <v>1</v>
          </cell>
          <cell r="J300" t="str">
            <v>ТАК ПСБ "Ориёнбанк"</v>
          </cell>
          <cell r="K300">
            <v>105000</v>
          </cell>
          <cell r="L300">
            <v>2500</v>
          </cell>
          <cell r="M300">
            <v>1</v>
          </cell>
          <cell r="N300">
            <v>105000</v>
          </cell>
        </row>
        <row r="301">
          <cell r="A301">
            <v>2003</v>
          </cell>
          <cell r="B301">
            <v>2</v>
          </cell>
          <cell r="C301">
            <v>1</v>
          </cell>
          <cell r="D301">
            <v>305</v>
          </cell>
          <cell r="E301">
            <v>2</v>
          </cell>
          <cell r="F301" t="str">
            <v>TJS</v>
          </cell>
          <cell r="G301">
            <v>36</v>
          </cell>
          <cell r="H301">
            <v>2500</v>
          </cell>
          <cell r="I301">
            <v>1</v>
          </cell>
          <cell r="J301" t="str">
            <v>ТАК ПСБ "Ориёнбанк"</v>
          </cell>
          <cell r="K301">
            <v>90000</v>
          </cell>
          <cell r="L301">
            <v>2500</v>
          </cell>
          <cell r="M301">
            <v>1</v>
          </cell>
          <cell r="N301">
            <v>90000</v>
          </cell>
        </row>
        <row r="302">
          <cell r="A302">
            <v>2003</v>
          </cell>
          <cell r="B302">
            <v>2</v>
          </cell>
          <cell r="C302">
            <v>1</v>
          </cell>
          <cell r="D302">
            <v>292</v>
          </cell>
          <cell r="E302">
            <v>2</v>
          </cell>
          <cell r="F302" t="str">
            <v>TJS</v>
          </cell>
          <cell r="G302">
            <v>36</v>
          </cell>
          <cell r="H302">
            <v>2500</v>
          </cell>
          <cell r="I302">
            <v>1</v>
          </cell>
          <cell r="J302" t="str">
            <v>ТАК ПСБ "Ориёнбанк"</v>
          </cell>
          <cell r="K302">
            <v>90000</v>
          </cell>
          <cell r="L302">
            <v>2500</v>
          </cell>
          <cell r="M302">
            <v>1</v>
          </cell>
          <cell r="N302">
            <v>90000</v>
          </cell>
        </row>
        <row r="303">
          <cell r="A303">
            <v>2003</v>
          </cell>
          <cell r="B303">
            <v>2</v>
          </cell>
          <cell r="C303">
            <v>1</v>
          </cell>
          <cell r="D303">
            <v>181</v>
          </cell>
          <cell r="E303">
            <v>2</v>
          </cell>
          <cell r="F303" t="str">
            <v>TJS</v>
          </cell>
          <cell r="G303">
            <v>36</v>
          </cell>
          <cell r="H303">
            <v>2500</v>
          </cell>
          <cell r="I303">
            <v>1</v>
          </cell>
          <cell r="J303" t="str">
            <v>ТАК ПСБ "Ориёнбанк"</v>
          </cell>
          <cell r="K303">
            <v>90000</v>
          </cell>
          <cell r="L303">
            <v>2500</v>
          </cell>
          <cell r="M303">
            <v>1</v>
          </cell>
          <cell r="N303">
            <v>90000</v>
          </cell>
        </row>
        <row r="304">
          <cell r="A304">
            <v>2003</v>
          </cell>
          <cell r="B304">
            <v>2</v>
          </cell>
          <cell r="C304">
            <v>1</v>
          </cell>
          <cell r="D304">
            <v>299</v>
          </cell>
          <cell r="E304">
            <v>2</v>
          </cell>
          <cell r="F304" t="str">
            <v>TJS</v>
          </cell>
          <cell r="G304">
            <v>36</v>
          </cell>
          <cell r="H304">
            <v>2500</v>
          </cell>
          <cell r="I304">
            <v>1</v>
          </cell>
          <cell r="J304" t="str">
            <v>ТАК ПСБ "Ориёнбанк"</v>
          </cell>
          <cell r="K304">
            <v>90000</v>
          </cell>
          <cell r="L304">
            <v>2500</v>
          </cell>
          <cell r="M304">
            <v>1</v>
          </cell>
          <cell r="N304">
            <v>90000</v>
          </cell>
        </row>
        <row r="305">
          <cell r="A305">
            <v>2003</v>
          </cell>
          <cell r="B305">
            <v>2</v>
          </cell>
          <cell r="C305">
            <v>1</v>
          </cell>
          <cell r="D305">
            <v>210</v>
          </cell>
          <cell r="E305">
            <v>2</v>
          </cell>
          <cell r="F305" t="str">
            <v>TJS</v>
          </cell>
          <cell r="G305">
            <v>42</v>
          </cell>
          <cell r="H305">
            <v>16500</v>
          </cell>
          <cell r="I305">
            <v>4</v>
          </cell>
          <cell r="J305" t="str">
            <v>ТАК ПСБ "Ориёнбанк"</v>
          </cell>
          <cell r="K305">
            <v>693000</v>
          </cell>
          <cell r="L305">
            <v>16500</v>
          </cell>
          <cell r="M305">
            <v>1</v>
          </cell>
          <cell r="N305">
            <v>693000</v>
          </cell>
        </row>
        <row r="306">
          <cell r="A306">
            <v>2003</v>
          </cell>
          <cell r="B306">
            <v>2</v>
          </cell>
          <cell r="C306">
            <v>1</v>
          </cell>
          <cell r="D306">
            <v>210</v>
          </cell>
          <cell r="E306">
            <v>2</v>
          </cell>
          <cell r="F306" t="str">
            <v>TJS</v>
          </cell>
          <cell r="G306">
            <v>40</v>
          </cell>
          <cell r="H306">
            <v>5000</v>
          </cell>
          <cell r="I306">
            <v>1</v>
          </cell>
          <cell r="J306" t="str">
            <v>ТАК ПСБ "Ориёнбанк"</v>
          </cell>
          <cell r="K306">
            <v>200000</v>
          </cell>
          <cell r="L306">
            <v>5000</v>
          </cell>
          <cell r="M306">
            <v>1</v>
          </cell>
          <cell r="N306">
            <v>200000</v>
          </cell>
        </row>
        <row r="307">
          <cell r="A307">
            <v>2003</v>
          </cell>
          <cell r="B307">
            <v>2</v>
          </cell>
          <cell r="C307">
            <v>1</v>
          </cell>
          <cell r="D307">
            <v>180</v>
          </cell>
          <cell r="E307">
            <v>2</v>
          </cell>
          <cell r="F307" t="str">
            <v>TJS</v>
          </cell>
          <cell r="G307">
            <v>42</v>
          </cell>
          <cell r="H307">
            <v>1200</v>
          </cell>
          <cell r="I307">
            <v>1</v>
          </cell>
          <cell r="J307" t="str">
            <v>ТАК ПСБ "Ориёнбанк"</v>
          </cell>
          <cell r="K307">
            <v>50400</v>
          </cell>
          <cell r="L307">
            <v>1200</v>
          </cell>
          <cell r="M307">
            <v>1</v>
          </cell>
          <cell r="N307">
            <v>50400</v>
          </cell>
        </row>
        <row r="308">
          <cell r="A308">
            <v>2003</v>
          </cell>
          <cell r="B308">
            <v>2</v>
          </cell>
          <cell r="C308">
            <v>1</v>
          </cell>
          <cell r="D308">
            <v>720</v>
          </cell>
          <cell r="E308">
            <v>2</v>
          </cell>
          <cell r="F308" t="str">
            <v>TJS</v>
          </cell>
          <cell r="G308">
            <v>20</v>
          </cell>
          <cell r="H308">
            <v>435</v>
          </cell>
          <cell r="I308">
            <v>1</v>
          </cell>
          <cell r="J308" t="str">
            <v>ТАК ПСБ "Ориёнбанк"</v>
          </cell>
          <cell r="K308">
            <v>8700</v>
          </cell>
          <cell r="L308">
            <v>435</v>
          </cell>
          <cell r="M308">
            <v>1</v>
          </cell>
          <cell r="N308">
            <v>8700</v>
          </cell>
        </row>
        <row r="309">
          <cell r="A309">
            <v>2003</v>
          </cell>
          <cell r="B309">
            <v>2</v>
          </cell>
          <cell r="C309">
            <v>1</v>
          </cell>
          <cell r="D309">
            <v>360</v>
          </cell>
          <cell r="E309">
            <v>2</v>
          </cell>
          <cell r="F309" t="str">
            <v>TJS</v>
          </cell>
          <cell r="G309">
            <v>20</v>
          </cell>
          <cell r="H309">
            <v>2500</v>
          </cell>
          <cell r="I309">
            <v>1</v>
          </cell>
          <cell r="J309" t="str">
            <v>ТАК ПСБ "Ориёнбанк"</v>
          </cell>
          <cell r="K309">
            <v>50000</v>
          </cell>
          <cell r="L309">
            <v>2500</v>
          </cell>
          <cell r="M309">
            <v>1</v>
          </cell>
          <cell r="N309">
            <v>50000</v>
          </cell>
        </row>
        <row r="310">
          <cell r="A310">
            <v>2003</v>
          </cell>
          <cell r="B310">
            <v>2</v>
          </cell>
          <cell r="C310">
            <v>1</v>
          </cell>
          <cell r="D310">
            <v>360</v>
          </cell>
          <cell r="E310">
            <v>2</v>
          </cell>
          <cell r="F310" t="str">
            <v>TJS</v>
          </cell>
          <cell r="G310">
            <v>28</v>
          </cell>
          <cell r="H310">
            <v>2500</v>
          </cell>
          <cell r="I310">
            <v>1</v>
          </cell>
          <cell r="J310" t="str">
            <v>ТАК ПСБ "Ориёнбанк"</v>
          </cell>
          <cell r="K310">
            <v>70000</v>
          </cell>
          <cell r="L310">
            <v>2500</v>
          </cell>
          <cell r="M310">
            <v>1</v>
          </cell>
          <cell r="N310">
            <v>70000</v>
          </cell>
        </row>
        <row r="311">
          <cell r="A311">
            <v>2003</v>
          </cell>
          <cell r="B311">
            <v>2</v>
          </cell>
          <cell r="C311">
            <v>1</v>
          </cell>
          <cell r="D311">
            <v>360</v>
          </cell>
          <cell r="E311">
            <v>2</v>
          </cell>
          <cell r="F311" t="str">
            <v>TJS</v>
          </cell>
          <cell r="G311">
            <v>36</v>
          </cell>
          <cell r="H311">
            <v>9500</v>
          </cell>
          <cell r="I311">
            <v>1</v>
          </cell>
          <cell r="J311" t="str">
            <v>ТАК ПСБ "Ориёнбанк"</v>
          </cell>
          <cell r="K311">
            <v>342000</v>
          </cell>
          <cell r="L311">
            <v>9500</v>
          </cell>
          <cell r="M311">
            <v>1</v>
          </cell>
          <cell r="N311">
            <v>342000</v>
          </cell>
        </row>
        <row r="312">
          <cell r="A312">
            <v>2003</v>
          </cell>
          <cell r="B312">
            <v>2</v>
          </cell>
          <cell r="C312">
            <v>1</v>
          </cell>
          <cell r="D312">
            <v>141</v>
          </cell>
          <cell r="E312">
            <v>2</v>
          </cell>
          <cell r="F312" t="str">
            <v>TJS</v>
          </cell>
          <cell r="G312">
            <v>36</v>
          </cell>
          <cell r="H312">
            <v>1500</v>
          </cell>
          <cell r="I312">
            <v>1</v>
          </cell>
          <cell r="J312" t="str">
            <v>ТАК ПСБ "Ориёнбанк"</v>
          </cell>
          <cell r="K312">
            <v>54000</v>
          </cell>
          <cell r="L312">
            <v>1500</v>
          </cell>
          <cell r="M312">
            <v>1</v>
          </cell>
          <cell r="N312">
            <v>54000</v>
          </cell>
        </row>
        <row r="313">
          <cell r="A313">
            <v>2003</v>
          </cell>
          <cell r="B313">
            <v>2</v>
          </cell>
          <cell r="C313">
            <v>1</v>
          </cell>
          <cell r="D313">
            <v>181</v>
          </cell>
          <cell r="E313">
            <v>2</v>
          </cell>
          <cell r="F313" t="str">
            <v>TJS</v>
          </cell>
          <cell r="G313">
            <v>30</v>
          </cell>
          <cell r="H313">
            <v>1700</v>
          </cell>
          <cell r="I313">
            <v>1</v>
          </cell>
          <cell r="J313" t="str">
            <v>ТАК ПСБ "Ориёнбанк"</v>
          </cell>
          <cell r="K313">
            <v>51000</v>
          </cell>
          <cell r="L313">
            <v>1700</v>
          </cell>
          <cell r="M313">
            <v>1</v>
          </cell>
          <cell r="N313">
            <v>51000</v>
          </cell>
        </row>
        <row r="314">
          <cell r="A314">
            <v>2003</v>
          </cell>
          <cell r="B314">
            <v>2</v>
          </cell>
          <cell r="C314">
            <v>1</v>
          </cell>
          <cell r="D314">
            <v>182</v>
          </cell>
          <cell r="E314">
            <v>2</v>
          </cell>
          <cell r="F314" t="str">
            <v>TJS</v>
          </cell>
          <cell r="G314">
            <v>30</v>
          </cell>
          <cell r="H314">
            <v>2500</v>
          </cell>
          <cell r="I314">
            <v>1</v>
          </cell>
          <cell r="J314" t="str">
            <v>ТАК ПСБ "Ориёнбанк"</v>
          </cell>
          <cell r="K314">
            <v>75000</v>
          </cell>
          <cell r="L314">
            <v>2500</v>
          </cell>
          <cell r="M314">
            <v>1</v>
          </cell>
          <cell r="N314">
            <v>75000</v>
          </cell>
        </row>
        <row r="315">
          <cell r="A315">
            <v>2003</v>
          </cell>
          <cell r="B315">
            <v>2</v>
          </cell>
          <cell r="C315">
            <v>1</v>
          </cell>
          <cell r="D315">
            <v>180</v>
          </cell>
          <cell r="E315">
            <v>2</v>
          </cell>
          <cell r="F315" t="str">
            <v>TJS</v>
          </cell>
          <cell r="G315">
            <v>48</v>
          </cell>
          <cell r="H315">
            <v>1500</v>
          </cell>
          <cell r="I315">
            <v>1</v>
          </cell>
          <cell r="J315" t="str">
            <v>ТАК ПСБ "Ориёнбанк"</v>
          </cell>
          <cell r="K315">
            <v>72000</v>
          </cell>
          <cell r="L315">
            <v>1500</v>
          </cell>
          <cell r="M315">
            <v>1</v>
          </cell>
          <cell r="N315">
            <v>72000</v>
          </cell>
        </row>
        <row r="316">
          <cell r="A316">
            <v>2003</v>
          </cell>
          <cell r="B316">
            <v>2</v>
          </cell>
          <cell r="C316">
            <v>1</v>
          </cell>
          <cell r="D316">
            <v>221</v>
          </cell>
          <cell r="E316">
            <v>2</v>
          </cell>
          <cell r="F316" t="str">
            <v>TJS</v>
          </cell>
          <cell r="G316">
            <v>28</v>
          </cell>
          <cell r="H316">
            <v>75500</v>
          </cell>
          <cell r="I316">
            <v>1</v>
          </cell>
          <cell r="J316" t="str">
            <v>ТАК ПСБ "Ориёнбанк"</v>
          </cell>
          <cell r="K316">
            <v>2114000</v>
          </cell>
          <cell r="L316">
            <v>75500</v>
          </cell>
          <cell r="M316">
            <v>1</v>
          </cell>
          <cell r="N316">
            <v>2114000</v>
          </cell>
        </row>
        <row r="317">
          <cell r="A317">
            <v>2003</v>
          </cell>
          <cell r="B317">
            <v>2</v>
          </cell>
          <cell r="C317">
            <v>1</v>
          </cell>
          <cell r="D317">
            <v>183</v>
          </cell>
          <cell r="E317">
            <v>2</v>
          </cell>
          <cell r="F317" t="str">
            <v>TJS</v>
          </cell>
          <cell r="G317">
            <v>36</v>
          </cell>
          <cell r="H317">
            <v>2500</v>
          </cell>
          <cell r="I317">
            <v>1</v>
          </cell>
          <cell r="J317" t="str">
            <v>ТАК ПСБ "Ориёнбанк"</v>
          </cell>
          <cell r="K317">
            <v>90000</v>
          </cell>
          <cell r="L317">
            <v>2500</v>
          </cell>
          <cell r="M317">
            <v>1</v>
          </cell>
          <cell r="N317">
            <v>90000</v>
          </cell>
        </row>
        <row r="318">
          <cell r="A318">
            <v>2003</v>
          </cell>
          <cell r="B318">
            <v>2</v>
          </cell>
          <cell r="C318">
            <v>1</v>
          </cell>
          <cell r="D318">
            <v>280</v>
          </cell>
          <cell r="E318">
            <v>1</v>
          </cell>
          <cell r="F318" t="str">
            <v>USD</v>
          </cell>
          <cell r="G318">
            <v>18</v>
          </cell>
          <cell r="H318">
            <v>239304</v>
          </cell>
          <cell r="I318">
            <v>1</v>
          </cell>
          <cell r="J318" t="str">
            <v>ТАК ПСБ "Ориёнбанк"</v>
          </cell>
          <cell r="K318">
            <v>4307472</v>
          </cell>
          <cell r="L318">
            <v>241508.1157894737</v>
          </cell>
          <cell r="M318">
            <v>1.0092105263157896</v>
          </cell>
          <cell r="N318">
            <v>4347146.084210527</v>
          </cell>
        </row>
        <row r="319">
          <cell r="A319">
            <v>2003</v>
          </cell>
          <cell r="B319">
            <v>2</v>
          </cell>
          <cell r="C319">
            <v>1</v>
          </cell>
          <cell r="D319">
            <v>330</v>
          </cell>
          <cell r="E319">
            <v>1</v>
          </cell>
          <cell r="F319" t="str">
            <v>TJS</v>
          </cell>
          <cell r="G319">
            <v>22</v>
          </cell>
          <cell r="H319">
            <v>50000</v>
          </cell>
          <cell r="I319">
            <v>1</v>
          </cell>
          <cell r="J319" t="str">
            <v>АКБ  СП "Сохибкорбанк"</v>
          </cell>
          <cell r="K319">
            <v>1100000</v>
          </cell>
          <cell r="L319">
            <v>50000</v>
          </cell>
          <cell r="M319">
            <v>1</v>
          </cell>
          <cell r="N319">
            <v>1100000</v>
          </cell>
        </row>
        <row r="320">
          <cell r="A320">
            <v>2003</v>
          </cell>
          <cell r="B320">
            <v>2</v>
          </cell>
          <cell r="C320">
            <v>1</v>
          </cell>
          <cell r="D320">
            <v>330</v>
          </cell>
          <cell r="E320">
            <v>2</v>
          </cell>
          <cell r="F320" t="str">
            <v>TJS</v>
          </cell>
          <cell r="G320">
            <v>6</v>
          </cell>
          <cell r="H320">
            <v>6500</v>
          </cell>
          <cell r="I320">
            <v>1</v>
          </cell>
          <cell r="J320" t="str">
            <v>АКБ  СП "Сохибкорбанк"</v>
          </cell>
          <cell r="K320">
            <v>39000</v>
          </cell>
          <cell r="L320">
            <v>6500</v>
          </cell>
          <cell r="M320">
            <v>1</v>
          </cell>
          <cell r="N320">
            <v>39000</v>
          </cell>
        </row>
        <row r="321">
          <cell r="A321">
            <v>2003</v>
          </cell>
          <cell r="B321">
            <v>3</v>
          </cell>
          <cell r="C321">
            <v>1</v>
          </cell>
          <cell r="D321">
            <v>66</v>
          </cell>
          <cell r="E321">
            <v>1</v>
          </cell>
          <cell r="F321" t="str">
            <v>TJS</v>
          </cell>
          <cell r="G321">
            <v>42</v>
          </cell>
          <cell r="H321">
            <v>3000</v>
          </cell>
          <cell r="I321">
            <v>1</v>
          </cell>
          <cell r="J321" t="str">
            <v>АК АПИБ "Агроинвестбанк"</v>
          </cell>
          <cell r="K321">
            <v>126000</v>
          </cell>
          <cell r="L321">
            <v>3000</v>
          </cell>
          <cell r="M321">
            <v>1</v>
          </cell>
          <cell r="N321">
            <v>126000</v>
          </cell>
        </row>
        <row r="322">
          <cell r="A322">
            <v>2003</v>
          </cell>
          <cell r="B322">
            <v>3</v>
          </cell>
          <cell r="C322">
            <v>1</v>
          </cell>
          <cell r="D322">
            <v>66</v>
          </cell>
          <cell r="E322">
            <v>1</v>
          </cell>
          <cell r="F322" t="str">
            <v>TJS</v>
          </cell>
          <cell r="G322">
            <v>45</v>
          </cell>
          <cell r="H322">
            <v>3000</v>
          </cell>
          <cell r="I322">
            <v>1</v>
          </cell>
          <cell r="J322" t="str">
            <v>АК АПИБ "Агроинвестбанк"</v>
          </cell>
          <cell r="K322">
            <v>135000</v>
          </cell>
          <cell r="L322">
            <v>3000</v>
          </cell>
          <cell r="M322">
            <v>1</v>
          </cell>
          <cell r="N322">
            <v>135000</v>
          </cell>
        </row>
        <row r="323">
          <cell r="A323">
            <v>2003</v>
          </cell>
          <cell r="B323">
            <v>3</v>
          </cell>
          <cell r="C323">
            <v>1</v>
          </cell>
          <cell r="D323">
            <v>159</v>
          </cell>
          <cell r="E323">
            <v>1</v>
          </cell>
          <cell r="F323" t="str">
            <v>TJS</v>
          </cell>
          <cell r="G323">
            <v>30</v>
          </cell>
          <cell r="H323">
            <v>3000</v>
          </cell>
          <cell r="I323">
            <v>1</v>
          </cell>
          <cell r="J323" t="str">
            <v>АК АПИБ "Агроинвестбанк"</v>
          </cell>
          <cell r="K323">
            <v>90000</v>
          </cell>
          <cell r="L323">
            <v>3000</v>
          </cell>
          <cell r="M323">
            <v>1</v>
          </cell>
          <cell r="N323">
            <v>90000</v>
          </cell>
        </row>
        <row r="324">
          <cell r="A324">
            <v>2003</v>
          </cell>
          <cell r="B324">
            <v>3</v>
          </cell>
          <cell r="C324">
            <v>1</v>
          </cell>
          <cell r="D324">
            <v>250</v>
          </cell>
          <cell r="E324">
            <v>1</v>
          </cell>
          <cell r="F324" t="str">
            <v>TJS</v>
          </cell>
          <cell r="G324">
            <v>40</v>
          </cell>
          <cell r="H324">
            <v>2000</v>
          </cell>
          <cell r="I324">
            <v>1</v>
          </cell>
          <cell r="J324" t="str">
            <v>АК АПИБ "Агроинвестбанк"</v>
          </cell>
          <cell r="K324">
            <v>80000</v>
          </cell>
          <cell r="L324">
            <v>2000</v>
          </cell>
          <cell r="M324">
            <v>1</v>
          </cell>
          <cell r="N324">
            <v>80000</v>
          </cell>
        </row>
        <row r="325">
          <cell r="A325">
            <v>2003</v>
          </cell>
          <cell r="B325">
            <v>3</v>
          </cell>
          <cell r="C325">
            <v>1</v>
          </cell>
          <cell r="D325">
            <v>360</v>
          </cell>
          <cell r="E325">
            <v>1</v>
          </cell>
          <cell r="F325" t="str">
            <v>TJS</v>
          </cell>
          <cell r="G325">
            <v>30</v>
          </cell>
          <cell r="H325">
            <v>296917</v>
          </cell>
          <cell r="I325">
            <v>1</v>
          </cell>
          <cell r="J325" t="str">
            <v>АК АПИБ "Агроинвестбанк"</v>
          </cell>
          <cell r="K325">
            <v>8907510</v>
          </cell>
          <cell r="L325">
            <v>296917</v>
          </cell>
          <cell r="M325">
            <v>1</v>
          </cell>
          <cell r="N325">
            <v>8907510</v>
          </cell>
        </row>
        <row r="326">
          <cell r="A326">
            <v>2003</v>
          </cell>
          <cell r="B326">
            <v>3</v>
          </cell>
          <cell r="C326">
            <v>1</v>
          </cell>
          <cell r="D326">
            <v>57</v>
          </cell>
          <cell r="E326">
            <v>2</v>
          </cell>
          <cell r="F326" t="str">
            <v>TJS</v>
          </cell>
          <cell r="G326">
            <v>40</v>
          </cell>
          <cell r="H326">
            <v>3000</v>
          </cell>
          <cell r="I326">
            <v>1</v>
          </cell>
          <cell r="J326" t="str">
            <v>АК АПИБ "Агроинвестбанк"</v>
          </cell>
          <cell r="K326">
            <v>120000</v>
          </cell>
          <cell r="L326">
            <v>3000</v>
          </cell>
          <cell r="M326">
            <v>1</v>
          </cell>
          <cell r="N326">
            <v>120000</v>
          </cell>
        </row>
        <row r="327">
          <cell r="A327">
            <v>2003</v>
          </cell>
          <cell r="B327">
            <v>3</v>
          </cell>
          <cell r="C327">
            <v>1</v>
          </cell>
          <cell r="D327">
            <v>180</v>
          </cell>
          <cell r="E327">
            <v>2</v>
          </cell>
          <cell r="F327" t="str">
            <v>TJS</v>
          </cell>
          <cell r="G327">
            <v>30</v>
          </cell>
          <cell r="H327">
            <v>3000</v>
          </cell>
          <cell r="I327">
            <v>1</v>
          </cell>
          <cell r="J327" t="str">
            <v>АК АПИБ "Агроинвестбанк"</v>
          </cell>
          <cell r="K327">
            <v>90000</v>
          </cell>
          <cell r="L327">
            <v>3000</v>
          </cell>
          <cell r="M327">
            <v>1</v>
          </cell>
          <cell r="N327">
            <v>90000</v>
          </cell>
        </row>
        <row r="328">
          <cell r="A328">
            <v>2003</v>
          </cell>
          <cell r="B328">
            <v>3</v>
          </cell>
          <cell r="C328">
            <v>1</v>
          </cell>
          <cell r="D328">
            <v>185</v>
          </cell>
          <cell r="E328">
            <v>2</v>
          </cell>
          <cell r="F328" t="str">
            <v>TJS</v>
          </cell>
          <cell r="G328">
            <v>33</v>
          </cell>
          <cell r="H328">
            <v>2500</v>
          </cell>
          <cell r="I328">
            <v>2</v>
          </cell>
          <cell r="J328" t="str">
            <v>АК АПИБ "Агроинвестбанк"</v>
          </cell>
          <cell r="K328">
            <v>82500</v>
          </cell>
          <cell r="L328">
            <v>2500</v>
          </cell>
          <cell r="M328">
            <v>1</v>
          </cell>
          <cell r="N328">
            <v>82500</v>
          </cell>
        </row>
        <row r="329">
          <cell r="A329">
            <v>2003</v>
          </cell>
          <cell r="B329">
            <v>3</v>
          </cell>
          <cell r="C329">
            <v>1</v>
          </cell>
          <cell r="D329">
            <v>185</v>
          </cell>
          <cell r="E329">
            <v>2</v>
          </cell>
          <cell r="F329" t="str">
            <v>TJS</v>
          </cell>
          <cell r="G329">
            <v>36</v>
          </cell>
          <cell r="H329">
            <v>9500</v>
          </cell>
          <cell r="I329">
            <v>4</v>
          </cell>
          <cell r="J329" t="str">
            <v>АК АПИБ "Агроинвестбанк"</v>
          </cell>
          <cell r="K329">
            <v>342000</v>
          </cell>
          <cell r="L329">
            <v>9500</v>
          </cell>
          <cell r="M329">
            <v>1</v>
          </cell>
          <cell r="N329">
            <v>342000</v>
          </cell>
        </row>
        <row r="330">
          <cell r="A330">
            <v>2003</v>
          </cell>
          <cell r="B330">
            <v>3</v>
          </cell>
          <cell r="C330">
            <v>1</v>
          </cell>
          <cell r="D330">
            <v>185</v>
          </cell>
          <cell r="E330">
            <v>2</v>
          </cell>
          <cell r="F330" t="str">
            <v>TJS</v>
          </cell>
          <cell r="G330">
            <v>40</v>
          </cell>
          <cell r="H330">
            <v>2200</v>
          </cell>
          <cell r="I330">
            <v>2</v>
          </cell>
          <cell r="J330" t="str">
            <v>АК АПИБ "Агроинвестбанк"</v>
          </cell>
          <cell r="K330">
            <v>88000</v>
          </cell>
          <cell r="L330">
            <v>2200</v>
          </cell>
          <cell r="M330">
            <v>1</v>
          </cell>
          <cell r="N330">
            <v>88000</v>
          </cell>
        </row>
        <row r="331">
          <cell r="A331">
            <v>2003</v>
          </cell>
          <cell r="B331">
            <v>3</v>
          </cell>
          <cell r="C331">
            <v>1</v>
          </cell>
          <cell r="D331">
            <v>365</v>
          </cell>
          <cell r="E331">
            <v>2</v>
          </cell>
          <cell r="F331" t="str">
            <v>TJS</v>
          </cell>
          <cell r="G331">
            <v>30</v>
          </cell>
          <cell r="H331">
            <v>1000</v>
          </cell>
          <cell r="I331">
            <v>1</v>
          </cell>
          <cell r="J331" t="str">
            <v>АК АПИБ "Агроинвестбанк"</v>
          </cell>
          <cell r="K331">
            <v>30000</v>
          </cell>
          <cell r="L331">
            <v>1000</v>
          </cell>
          <cell r="M331">
            <v>1</v>
          </cell>
          <cell r="N331">
            <v>30000</v>
          </cell>
        </row>
        <row r="332">
          <cell r="A332">
            <v>2003</v>
          </cell>
          <cell r="B332">
            <v>3</v>
          </cell>
          <cell r="C332">
            <v>1</v>
          </cell>
          <cell r="D332">
            <v>365</v>
          </cell>
          <cell r="E332">
            <v>2</v>
          </cell>
          <cell r="F332" t="str">
            <v>TJS</v>
          </cell>
          <cell r="G332">
            <v>36</v>
          </cell>
          <cell r="H332">
            <v>3000</v>
          </cell>
          <cell r="I332">
            <v>1</v>
          </cell>
          <cell r="J332" t="str">
            <v>АК АПИБ "Агроинвестбанк"</v>
          </cell>
          <cell r="K332">
            <v>108000</v>
          </cell>
          <cell r="L332">
            <v>3000</v>
          </cell>
          <cell r="M332">
            <v>1</v>
          </cell>
          <cell r="N332">
            <v>108000</v>
          </cell>
        </row>
        <row r="333">
          <cell r="A333">
            <v>2003</v>
          </cell>
          <cell r="B333">
            <v>3</v>
          </cell>
          <cell r="C333">
            <v>2</v>
          </cell>
          <cell r="D333">
            <v>256</v>
          </cell>
          <cell r="E333">
            <v>1</v>
          </cell>
          <cell r="F333" t="str">
            <v>TJS</v>
          </cell>
          <cell r="G333">
            <v>12</v>
          </cell>
          <cell r="H333">
            <v>350000</v>
          </cell>
          <cell r="I333">
            <v>1</v>
          </cell>
          <cell r="J333" t="str">
            <v>АК АПИБ "Агроинвестбанк"</v>
          </cell>
          <cell r="K333">
            <v>4200000</v>
          </cell>
          <cell r="L333">
            <v>350000</v>
          </cell>
          <cell r="M333">
            <v>1</v>
          </cell>
          <cell r="N333">
            <v>4200000</v>
          </cell>
        </row>
        <row r="334">
          <cell r="A334">
            <v>2003</v>
          </cell>
          <cell r="B334">
            <v>3</v>
          </cell>
          <cell r="C334">
            <v>2</v>
          </cell>
          <cell r="D334">
            <v>273</v>
          </cell>
          <cell r="E334">
            <v>1</v>
          </cell>
          <cell r="F334" t="str">
            <v>TJS</v>
          </cell>
          <cell r="G334">
            <v>12</v>
          </cell>
          <cell r="H334">
            <v>15820</v>
          </cell>
          <cell r="I334">
            <v>1</v>
          </cell>
          <cell r="J334" t="str">
            <v>АК АПИБ "Агроинвестбанк"</v>
          </cell>
          <cell r="K334">
            <v>189840</v>
          </cell>
          <cell r="L334">
            <v>15820</v>
          </cell>
          <cell r="M334">
            <v>1</v>
          </cell>
          <cell r="N334">
            <v>189840</v>
          </cell>
        </row>
        <row r="335">
          <cell r="A335">
            <v>2003</v>
          </cell>
          <cell r="B335">
            <v>3</v>
          </cell>
          <cell r="C335">
            <v>2</v>
          </cell>
          <cell r="D335">
            <v>292</v>
          </cell>
          <cell r="E335">
            <v>1</v>
          </cell>
          <cell r="F335" t="str">
            <v>TJS</v>
          </cell>
          <cell r="G335">
            <v>12</v>
          </cell>
          <cell r="H335">
            <v>179804</v>
          </cell>
          <cell r="I335">
            <v>1</v>
          </cell>
          <cell r="J335" t="str">
            <v>АК АПИБ "Агроинвестбанк"</v>
          </cell>
          <cell r="K335">
            <v>2157648</v>
          </cell>
          <cell r="L335">
            <v>179804</v>
          </cell>
          <cell r="M335">
            <v>1</v>
          </cell>
          <cell r="N335">
            <v>2157648</v>
          </cell>
        </row>
        <row r="336">
          <cell r="A336">
            <v>2003</v>
          </cell>
          <cell r="B336">
            <v>3</v>
          </cell>
          <cell r="C336">
            <v>2</v>
          </cell>
          <cell r="D336">
            <v>295</v>
          </cell>
          <cell r="E336">
            <v>1</v>
          </cell>
          <cell r="F336" t="str">
            <v>TJS</v>
          </cell>
          <cell r="G336">
            <v>12</v>
          </cell>
          <cell r="H336">
            <v>1010000</v>
          </cell>
          <cell r="I336">
            <v>2</v>
          </cell>
          <cell r="J336" t="str">
            <v>АК АПИБ "Агроинвестбанк"</v>
          </cell>
          <cell r="K336">
            <v>12120000</v>
          </cell>
          <cell r="L336">
            <v>1010000</v>
          </cell>
          <cell r="M336">
            <v>1</v>
          </cell>
          <cell r="N336">
            <v>12120000</v>
          </cell>
        </row>
        <row r="337">
          <cell r="A337">
            <v>2003</v>
          </cell>
          <cell r="B337">
            <v>3</v>
          </cell>
          <cell r="C337">
            <v>1</v>
          </cell>
          <cell r="D337">
            <v>79</v>
          </cell>
          <cell r="E337">
            <v>1</v>
          </cell>
          <cell r="F337" t="str">
            <v>USD</v>
          </cell>
          <cell r="G337">
            <v>24</v>
          </cell>
          <cell r="H337">
            <v>1663740</v>
          </cell>
          <cell r="I337">
            <v>1</v>
          </cell>
          <cell r="J337" t="str">
            <v>АК АПИБ "Агроинвестбанк"</v>
          </cell>
          <cell r="K337">
            <v>39929760</v>
          </cell>
          <cell r="L337">
            <v>1686178.5986842106</v>
          </cell>
          <cell r="M337">
            <v>1.0134868421052632</v>
          </cell>
          <cell r="N337">
            <v>40468286.368421055</v>
          </cell>
        </row>
        <row r="338">
          <cell r="A338">
            <v>2003</v>
          </cell>
          <cell r="B338">
            <v>3</v>
          </cell>
          <cell r="C338">
            <v>2</v>
          </cell>
          <cell r="D338">
            <v>269</v>
          </cell>
          <cell r="E338">
            <v>1</v>
          </cell>
          <cell r="F338" t="str">
            <v>USD</v>
          </cell>
          <cell r="G338">
            <v>12</v>
          </cell>
          <cell r="H338">
            <v>3411957</v>
          </cell>
          <cell r="I338">
            <v>6</v>
          </cell>
          <cell r="J338" t="str">
            <v>АК АПИБ "Агроинвестбанк"</v>
          </cell>
          <cell r="K338">
            <v>40943484</v>
          </cell>
          <cell r="L338">
            <v>3457973.5253289477</v>
          </cell>
          <cell r="M338">
            <v>1.0134868421052632</v>
          </cell>
          <cell r="N338">
            <v>41495682.30394737</v>
          </cell>
        </row>
        <row r="339">
          <cell r="A339">
            <v>2003</v>
          </cell>
          <cell r="B339">
            <v>3</v>
          </cell>
          <cell r="C339">
            <v>2</v>
          </cell>
          <cell r="D339">
            <v>272</v>
          </cell>
          <cell r="E339">
            <v>1</v>
          </cell>
          <cell r="F339" t="str">
            <v>USD</v>
          </cell>
          <cell r="G339">
            <v>12</v>
          </cell>
          <cell r="H339">
            <v>521259</v>
          </cell>
          <cell r="I339">
            <v>2</v>
          </cell>
          <cell r="J339" t="str">
            <v>АК АПИБ "Агроинвестбанк"</v>
          </cell>
          <cell r="K339">
            <v>6255108</v>
          </cell>
          <cell r="L339">
            <v>528289.1378289474</v>
          </cell>
          <cell r="M339">
            <v>1.0134868421052632</v>
          </cell>
          <cell r="N339">
            <v>6339469.653947368</v>
          </cell>
        </row>
        <row r="340">
          <cell r="A340">
            <v>2003</v>
          </cell>
          <cell r="B340">
            <v>3</v>
          </cell>
          <cell r="C340">
            <v>2</v>
          </cell>
          <cell r="D340">
            <v>280</v>
          </cell>
          <cell r="E340">
            <v>1</v>
          </cell>
          <cell r="F340" t="str">
            <v>USD</v>
          </cell>
          <cell r="G340">
            <v>12</v>
          </cell>
          <cell r="H340">
            <v>5106436</v>
          </cell>
          <cell r="I340">
            <v>8</v>
          </cell>
          <cell r="J340" t="str">
            <v>АК АПИБ "Агроинвестбанк"</v>
          </cell>
          <cell r="K340">
            <v>61277232</v>
          </cell>
          <cell r="L340">
            <v>5175305.696052631</v>
          </cell>
          <cell r="M340">
            <v>1.0134868421052632</v>
          </cell>
          <cell r="N340">
            <v>62103668.352631584</v>
          </cell>
        </row>
        <row r="341">
          <cell r="A341">
            <v>2003</v>
          </cell>
          <cell r="B341">
            <v>3</v>
          </cell>
          <cell r="C341">
            <v>2</v>
          </cell>
          <cell r="D341">
            <v>281</v>
          </cell>
          <cell r="E341">
            <v>1</v>
          </cell>
          <cell r="F341" t="str">
            <v>USD</v>
          </cell>
          <cell r="G341">
            <v>12</v>
          </cell>
          <cell r="H341">
            <v>183455</v>
          </cell>
          <cell r="I341">
            <v>1</v>
          </cell>
          <cell r="J341" t="str">
            <v>АК АПИБ "Агроинвестбанк"</v>
          </cell>
          <cell r="K341">
            <v>2201460</v>
          </cell>
          <cell r="L341">
            <v>185929.22861842107</v>
          </cell>
          <cell r="M341">
            <v>1.0134868421052632</v>
          </cell>
          <cell r="N341">
            <v>2231150.7434210526</v>
          </cell>
        </row>
        <row r="342">
          <cell r="A342">
            <v>2003</v>
          </cell>
          <cell r="B342">
            <v>3</v>
          </cell>
          <cell r="C342">
            <v>2</v>
          </cell>
          <cell r="D342">
            <v>282</v>
          </cell>
          <cell r="E342">
            <v>1</v>
          </cell>
          <cell r="F342" t="str">
            <v>USD</v>
          </cell>
          <cell r="G342">
            <v>12</v>
          </cell>
          <cell r="H342">
            <v>5545800</v>
          </cell>
          <cell r="I342">
            <v>1</v>
          </cell>
          <cell r="J342" t="str">
            <v>АК АПИБ "Агроинвестбанк"</v>
          </cell>
          <cell r="K342">
            <v>66549600</v>
          </cell>
          <cell r="L342">
            <v>5620595.328947369</v>
          </cell>
          <cell r="M342">
            <v>1.0134868421052632</v>
          </cell>
          <cell r="N342">
            <v>67447143.94736843</v>
          </cell>
        </row>
        <row r="343">
          <cell r="A343">
            <v>2003</v>
          </cell>
          <cell r="B343">
            <v>3</v>
          </cell>
          <cell r="C343">
            <v>2</v>
          </cell>
          <cell r="D343">
            <v>286</v>
          </cell>
          <cell r="E343">
            <v>1</v>
          </cell>
          <cell r="F343" t="str">
            <v>USD</v>
          </cell>
          <cell r="G343">
            <v>12</v>
          </cell>
          <cell r="H343">
            <v>6476660</v>
          </cell>
          <cell r="I343">
            <v>4</v>
          </cell>
          <cell r="J343" t="str">
            <v>АК АПИБ "Агроинвестбанк"</v>
          </cell>
          <cell r="K343">
            <v>77719920</v>
          </cell>
          <cell r="L343">
            <v>6564009.690789474</v>
          </cell>
          <cell r="M343">
            <v>1.0134868421052632</v>
          </cell>
          <cell r="N343">
            <v>78768116.28947368</v>
          </cell>
        </row>
        <row r="344">
          <cell r="A344">
            <v>2003</v>
          </cell>
          <cell r="B344">
            <v>3</v>
          </cell>
          <cell r="C344">
            <v>2</v>
          </cell>
          <cell r="D344">
            <v>287</v>
          </cell>
          <cell r="E344">
            <v>1</v>
          </cell>
          <cell r="F344" t="str">
            <v>USD</v>
          </cell>
          <cell r="G344">
            <v>12</v>
          </cell>
          <cell r="H344">
            <v>3498655</v>
          </cell>
          <cell r="I344">
            <v>4</v>
          </cell>
          <cell r="J344" t="str">
            <v>АК АПИБ "Агроинвестбанк"</v>
          </cell>
          <cell r="K344">
            <v>41983860</v>
          </cell>
          <cell r="L344">
            <v>3545840.8075657897</v>
          </cell>
          <cell r="M344">
            <v>1.0134868421052632</v>
          </cell>
          <cell r="N344">
            <v>42550089.690789476</v>
          </cell>
        </row>
        <row r="345">
          <cell r="A345">
            <v>2003</v>
          </cell>
          <cell r="B345">
            <v>3</v>
          </cell>
          <cell r="C345">
            <v>2</v>
          </cell>
          <cell r="D345">
            <v>296</v>
          </cell>
          <cell r="E345">
            <v>1</v>
          </cell>
          <cell r="F345" t="str">
            <v>USD</v>
          </cell>
          <cell r="G345">
            <v>12</v>
          </cell>
          <cell r="H345">
            <v>275959</v>
          </cell>
          <cell r="I345">
            <v>1</v>
          </cell>
          <cell r="J345" t="str">
            <v>АК АПИБ "Агроинвестбанк"</v>
          </cell>
          <cell r="K345">
            <v>3311508</v>
          </cell>
          <cell r="L345">
            <v>279680.8154605263</v>
          </cell>
          <cell r="M345">
            <v>1.0134868421052632</v>
          </cell>
          <cell r="N345">
            <v>3356169.7855263157</v>
          </cell>
        </row>
        <row r="346">
          <cell r="A346">
            <v>2003</v>
          </cell>
          <cell r="B346">
            <v>3</v>
          </cell>
          <cell r="C346">
            <v>1</v>
          </cell>
          <cell r="D346">
            <v>269</v>
          </cell>
          <cell r="E346">
            <v>1</v>
          </cell>
          <cell r="F346" t="str">
            <v>USD</v>
          </cell>
          <cell r="G346">
            <v>12</v>
          </cell>
          <cell r="H346">
            <v>30810</v>
          </cell>
          <cell r="I346">
            <v>1</v>
          </cell>
          <cell r="J346" t="str">
            <v>АК АПИБ "Агроинвестбанк"</v>
          </cell>
          <cell r="K346">
            <v>369720</v>
          </cell>
          <cell r="L346">
            <v>31225.52960526316</v>
          </cell>
          <cell r="M346">
            <v>1.0134868421052632</v>
          </cell>
          <cell r="N346">
            <v>374706.3552631579</v>
          </cell>
        </row>
        <row r="347">
          <cell r="A347">
            <v>2003</v>
          </cell>
          <cell r="B347">
            <v>3</v>
          </cell>
          <cell r="C347">
            <v>1</v>
          </cell>
          <cell r="D347">
            <v>125</v>
          </cell>
          <cell r="E347">
            <v>2</v>
          </cell>
          <cell r="F347" t="str">
            <v>USD</v>
          </cell>
          <cell r="G347">
            <v>40</v>
          </cell>
          <cell r="H347">
            <v>10784</v>
          </cell>
          <cell r="I347">
            <v>7</v>
          </cell>
          <cell r="J347" t="str">
            <v>АК АПИБ "Агроинвестбанк"</v>
          </cell>
          <cell r="K347">
            <v>431360</v>
          </cell>
          <cell r="L347">
            <v>10929.442105263159</v>
          </cell>
          <cell r="M347">
            <v>1.0134868421052632</v>
          </cell>
          <cell r="N347">
            <v>437177.68421052635</v>
          </cell>
        </row>
        <row r="348">
          <cell r="A348">
            <v>2003</v>
          </cell>
          <cell r="B348">
            <v>3</v>
          </cell>
          <cell r="C348">
            <v>1</v>
          </cell>
          <cell r="D348">
            <v>133</v>
          </cell>
          <cell r="E348">
            <v>2</v>
          </cell>
          <cell r="F348" t="str">
            <v>USD</v>
          </cell>
          <cell r="G348">
            <v>40</v>
          </cell>
          <cell r="H348">
            <v>9243</v>
          </cell>
          <cell r="I348">
            <v>1</v>
          </cell>
          <cell r="J348" t="str">
            <v>АК АПИБ "Агроинвестбанк"</v>
          </cell>
          <cell r="K348">
            <v>369720</v>
          </cell>
          <cell r="L348">
            <v>9367.658881578947</v>
          </cell>
          <cell r="M348">
            <v>1.0134868421052632</v>
          </cell>
          <cell r="N348">
            <v>374706.3552631579</v>
          </cell>
        </row>
        <row r="349">
          <cell r="A349">
            <v>2003</v>
          </cell>
          <cell r="B349">
            <v>3</v>
          </cell>
          <cell r="C349">
            <v>1</v>
          </cell>
          <cell r="D349">
            <v>133</v>
          </cell>
          <cell r="E349">
            <v>1</v>
          </cell>
          <cell r="F349" t="str">
            <v>USD</v>
          </cell>
          <cell r="G349">
            <v>40</v>
          </cell>
          <cell r="H349">
            <v>1540</v>
          </cell>
          <cell r="I349">
            <v>6</v>
          </cell>
          <cell r="J349" t="str">
            <v>АК АПИБ "Агроинвестбанк"</v>
          </cell>
          <cell r="K349">
            <v>61600</v>
          </cell>
          <cell r="L349">
            <v>1560.7697368421052</v>
          </cell>
          <cell r="M349">
            <v>1.0134868421052632</v>
          </cell>
          <cell r="N349">
            <v>62430.78947368421</v>
          </cell>
        </row>
        <row r="350">
          <cell r="A350">
            <v>2003</v>
          </cell>
          <cell r="B350">
            <v>3</v>
          </cell>
          <cell r="C350">
            <v>1</v>
          </cell>
          <cell r="D350">
            <v>134</v>
          </cell>
          <cell r="E350">
            <v>1</v>
          </cell>
          <cell r="F350" t="str">
            <v>USD</v>
          </cell>
          <cell r="G350">
            <v>40</v>
          </cell>
          <cell r="H350">
            <v>1540</v>
          </cell>
          <cell r="I350">
            <v>1</v>
          </cell>
          <cell r="J350" t="str">
            <v>АК АПИБ "Агроинвестбанк"</v>
          </cell>
          <cell r="K350">
            <v>61600</v>
          </cell>
          <cell r="L350">
            <v>1560.7697368421052</v>
          </cell>
          <cell r="M350">
            <v>1.0134868421052632</v>
          </cell>
          <cell r="N350">
            <v>62430.78947368421</v>
          </cell>
        </row>
        <row r="351">
          <cell r="A351">
            <v>2003</v>
          </cell>
          <cell r="B351">
            <v>3</v>
          </cell>
          <cell r="C351">
            <v>1</v>
          </cell>
          <cell r="D351">
            <v>135</v>
          </cell>
          <cell r="E351">
            <v>2</v>
          </cell>
          <cell r="F351" t="str">
            <v>USD</v>
          </cell>
          <cell r="G351">
            <v>40</v>
          </cell>
          <cell r="H351">
            <v>4621</v>
          </cell>
          <cell r="I351">
            <v>3</v>
          </cell>
          <cell r="J351" t="str">
            <v>АК АПИБ "Агроинвестбанк"</v>
          </cell>
          <cell r="K351">
            <v>184840</v>
          </cell>
          <cell r="L351">
            <v>4683.322697368421</v>
          </cell>
          <cell r="M351">
            <v>1.0134868421052632</v>
          </cell>
          <cell r="N351">
            <v>187332.90789473685</v>
          </cell>
        </row>
        <row r="352">
          <cell r="A352">
            <v>2003</v>
          </cell>
          <cell r="B352">
            <v>3</v>
          </cell>
          <cell r="C352">
            <v>1</v>
          </cell>
          <cell r="D352">
            <v>140</v>
          </cell>
          <cell r="E352">
            <v>2</v>
          </cell>
          <cell r="F352" t="str">
            <v>USD</v>
          </cell>
          <cell r="G352">
            <v>37</v>
          </cell>
          <cell r="H352">
            <v>6162</v>
          </cell>
          <cell r="I352">
            <v>4</v>
          </cell>
          <cell r="J352" t="str">
            <v>АК АПИБ "Агроинвестбанк"</v>
          </cell>
          <cell r="K352">
            <v>227994</v>
          </cell>
          <cell r="L352">
            <v>6245.105921052632</v>
          </cell>
          <cell r="M352">
            <v>1.0134868421052632</v>
          </cell>
          <cell r="N352">
            <v>231068.91907894737</v>
          </cell>
        </row>
        <row r="353">
          <cell r="A353">
            <v>2003</v>
          </cell>
          <cell r="B353">
            <v>3</v>
          </cell>
          <cell r="C353">
            <v>1</v>
          </cell>
          <cell r="D353">
            <v>140</v>
          </cell>
          <cell r="E353">
            <v>2</v>
          </cell>
          <cell r="F353" t="str">
            <v>USD</v>
          </cell>
          <cell r="G353">
            <v>40</v>
          </cell>
          <cell r="H353">
            <v>3081</v>
          </cell>
          <cell r="I353">
            <v>2</v>
          </cell>
          <cell r="J353" t="str">
            <v>АК АПИБ "Агроинвестбанк"</v>
          </cell>
          <cell r="K353">
            <v>123240</v>
          </cell>
          <cell r="L353">
            <v>3122.552960526316</v>
          </cell>
          <cell r="M353">
            <v>1.0134868421052632</v>
          </cell>
          <cell r="N353">
            <v>124902.11842105264</v>
          </cell>
        </row>
        <row r="354">
          <cell r="A354">
            <v>2003</v>
          </cell>
          <cell r="B354">
            <v>3</v>
          </cell>
          <cell r="C354">
            <v>1</v>
          </cell>
          <cell r="D354">
            <v>156</v>
          </cell>
          <cell r="E354">
            <v>2</v>
          </cell>
          <cell r="F354" t="str">
            <v>USD</v>
          </cell>
          <cell r="G354">
            <v>30</v>
          </cell>
          <cell r="H354">
            <v>1540</v>
          </cell>
          <cell r="I354">
            <v>1</v>
          </cell>
          <cell r="J354" t="str">
            <v>АК АПИБ "Агроинвестбанк"</v>
          </cell>
          <cell r="K354">
            <v>46200</v>
          </cell>
          <cell r="L354">
            <v>1560.7697368421052</v>
          </cell>
          <cell r="M354">
            <v>1.0134868421052632</v>
          </cell>
          <cell r="N354">
            <v>46823.09210526316</v>
          </cell>
        </row>
        <row r="355">
          <cell r="A355">
            <v>2003</v>
          </cell>
          <cell r="B355">
            <v>3</v>
          </cell>
          <cell r="C355">
            <v>1</v>
          </cell>
          <cell r="D355">
            <v>158</v>
          </cell>
          <cell r="E355">
            <v>2</v>
          </cell>
          <cell r="F355" t="str">
            <v>USD</v>
          </cell>
          <cell r="G355">
            <v>30</v>
          </cell>
          <cell r="H355">
            <v>1540</v>
          </cell>
          <cell r="I355">
            <v>1</v>
          </cell>
          <cell r="J355" t="str">
            <v>АК АПИБ "Агроинвестбанк"</v>
          </cell>
          <cell r="K355">
            <v>46200</v>
          </cell>
          <cell r="L355">
            <v>1560.7697368421052</v>
          </cell>
          <cell r="M355">
            <v>1.0134868421052632</v>
          </cell>
          <cell r="N355">
            <v>46823.09210526316</v>
          </cell>
        </row>
        <row r="356">
          <cell r="A356">
            <v>2003</v>
          </cell>
          <cell r="B356">
            <v>3</v>
          </cell>
          <cell r="C356">
            <v>1</v>
          </cell>
          <cell r="D356">
            <v>160</v>
          </cell>
          <cell r="E356">
            <v>2</v>
          </cell>
          <cell r="F356" t="str">
            <v>USD</v>
          </cell>
          <cell r="G356">
            <v>30</v>
          </cell>
          <cell r="H356">
            <v>1540</v>
          </cell>
          <cell r="I356">
            <v>1</v>
          </cell>
          <cell r="J356" t="str">
            <v>АК АПИБ "Агроинвестбанк"</v>
          </cell>
          <cell r="K356">
            <v>46200</v>
          </cell>
          <cell r="L356">
            <v>1560.7697368421052</v>
          </cell>
          <cell r="M356">
            <v>1.0134868421052632</v>
          </cell>
          <cell r="N356">
            <v>46823.09210526316</v>
          </cell>
        </row>
        <row r="357">
          <cell r="A357">
            <v>2003</v>
          </cell>
          <cell r="B357">
            <v>3</v>
          </cell>
          <cell r="C357">
            <v>1</v>
          </cell>
          <cell r="D357">
            <v>170</v>
          </cell>
          <cell r="E357">
            <v>2</v>
          </cell>
          <cell r="F357" t="str">
            <v>USD</v>
          </cell>
          <cell r="G357">
            <v>30</v>
          </cell>
          <cell r="H357">
            <v>1541</v>
          </cell>
          <cell r="I357">
            <v>1</v>
          </cell>
          <cell r="J357" t="str">
            <v>АК АПИБ "Агроинвестбанк"</v>
          </cell>
          <cell r="K357">
            <v>46230</v>
          </cell>
          <cell r="L357">
            <v>1561.7832236842105</v>
          </cell>
          <cell r="M357">
            <v>1.0134868421052632</v>
          </cell>
          <cell r="N357">
            <v>46853.49671052632</v>
          </cell>
        </row>
        <row r="358">
          <cell r="A358">
            <v>2003</v>
          </cell>
          <cell r="B358">
            <v>3</v>
          </cell>
          <cell r="C358">
            <v>1</v>
          </cell>
          <cell r="D358">
            <v>175</v>
          </cell>
          <cell r="E358">
            <v>2</v>
          </cell>
          <cell r="F358" t="str">
            <v>USD</v>
          </cell>
          <cell r="G358">
            <v>30</v>
          </cell>
          <cell r="H358">
            <v>1541</v>
          </cell>
          <cell r="I358">
            <v>1</v>
          </cell>
          <cell r="J358" t="str">
            <v>АК АПИБ "Агроинвестбанк"</v>
          </cell>
          <cell r="K358">
            <v>46230</v>
          </cell>
          <cell r="L358">
            <v>1561.7832236842105</v>
          </cell>
          <cell r="M358">
            <v>1.0134868421052632</v>
          </cell>
          <cell r="N358">
            <v>46853.49671052632</v>
          </cell>
        </row>
        <row r="359">
          <cell r="A359">
            <v>2003</v>
          </cell>
          <cell r="B359">
            <v>3</v>
          </cell>
          <cell r="C359">
            <v>1</v>
          </cell>
          <cell r="D359">
            <v>180</v>
          </cell>
          <cell r="E359">
            <v>2</v>
          </cell>
          <cell r="F359" t="str">
            <v>USD</v>
          </cell>
          <cell r="G359">
            <v>30</v>
          </cell>
          <cell r="H359">
            <v>1541</v>
          </cell>
          <cell r="I359">
            <v>1</v>
          </cell>
          <cell r="J359" t="str">
            <v>АК АПИБ "Агроинвестбанк"</v>
          </cell>
          <cell r="K359">
            <v>46230</v>
          </cell>
          <cell r="L359">
            <v>1561.7832236842105</v>
          </cell>
          <cell r="M359">
            <v>1.0134868421052632</v>
          </cell>
          <cell r="N359">
            <v>46853.49671052632</v>
          </cell>
        </row>
        <row r="360">
          <cell r="A360">
            <v>2003</v>
          </cell>
          <cell r="B360">
            <v>3</v>
          </cell>
          <cell r="C360">
            <v>1</v>
          </cell>
          <cell r="D360">
            <v>186</v>
          </cell>
          <cell r="E360">
            <v>2</v>
          </cell>
          <cell r="F360" t="str">
            <v>USD</v>
          </cell>
          <cell r="G360">
            <v>30</v>
          </cell>
          <cell r="H360">
            <v>3081</v>
          </cell>
          <cell r="I360">
            <v>2</v>
          </cell>
          <cell r="J360" t="str">
            <v>АК АПИБ "Агроинвестбанк"</v>
          </cell>
          <cell r="K360">
            <v>92430</v>
          </cell>
          <cell r="L360">
            <v>3122.552960526316</v>
          </cell>
          <cell r="M360">
            <v>1.0134868421052632</v>
          </cell>
          <cell r="N360">
            <v>93676.58881578948</v>
          </cell>
        </row>
        <row r="361">
          <cell r="A361">
            <v>2003</v>
          </cell>
          <cell r="B361">
            <v>3</v>
          </cell>
          <cell r="C361">
            <v>1</v>
          </cell>
          <cell r="D361">
            <v>187</v>
          </cell>
          <cell r="E361">
            <v>2</v>
          </cell>
          <cell r="F361" t="str">
            <v>USD</v>
          </cell>
          <cell r="G361">
            <v>30</v>
          </cell>
          <cell r="H361">
            <v>1541</v>
          </cell>
          <cell r="I361">
            <v>1</v>
          </cell>
          <cell r="J361" t="str">
            <v>АК АПИБ "Агроинвестбанк"</v>
          </cell>
          <cell r="K361">
            <v>46230</v>
          </cell>
          <cell r="L361">
            <v>1561.7832236842105</v>
          </cell>
          <cell r="M361">
            <v>1.0134868421052632</v>
          </cell>
          <cell r="N361">
            <v>46853.49671052632</v>
          </cell>
        </row>
        <row r="362">
          <cell r="A362">
            <v>2003</v>
          </cell>
          <cell r="B362">
            <v>3</v>
          </cell>
          <cell r="C362">
            <v>1</v>
          </cell>
          <cell r="D362">
            <v>188</v>
          </cell>
          <cell r="E362">
            <v>2</v>
          </cell>
          <cell r="F362" t="str">
            <v>USD</v>
          </cell>
          <cell r="G362">
            <v>20</v>
          </cell>
          <cell r="H362">
            <v>986</v>
          </cell>
          <cell r="I362">
            <v>1</v>
          </cell>
          <cell r="J362" t="str">
            <v>АК АПИБ "Агроинвестбанк"</v>
          </cell>
          <cell r="K362">
            <v>19720</v>
          </cell>
          <cell r="L362">
            <v>999.2980263157895</v>
          </cell>
          <cell r="M362">
            <v>1.0134868421052632</v>
          </cell>
          <cell r="N362">
            <v>19985.96052631579</v>
          </cell>
        </row>
        <row r="363">
          <cell r="A363">
            <v>2003</v>
          </cell>
          <cell r="B363">
            <v>3</v>
          </cell>
          <cell r="C363">
            <v>1</v>
          </cell>
          <cell r="D363">
            <v>200</v>
          </cell>
          <cell r="E363">
            <v>2</v>
          </cell>
          <cell r="F363" t="str">
            <v>USD</v>
          </cell>
          <cell r="G363">
            <v>30</v>
          </cell>
          <cell r="H363">
            <v>1541</v>
          </cell>
          <cell r="I363">
            <v>1</v>
          </cell>
          <cell r="J363" t="str">
            <v>АК АПИБ "Агроинвестбанк"</v>
          </cell>
          <cell r="K363">
            <v>46230</v>
          </cell>
          <cell r="L363">
            <v>1561.7832236842105</v>
          </cell>
          <cell r="M363">
            <v>1.0134868421052632</v>
          </cell>
          <cell r="N363">
            <v>46853.49671052632</v>
          </cell>
        </row>
        <row r="364">
          <cell r="A364">
            <v>2003</v>
          </cell>
          <cell r="B364">
            <v>3</v>
          </cell>
          <cell r="C364">
            <v>1</v>
          </cell>
          <cell r="D364">
            <v>205</v>
          </cell>
          <cell r="E364">
            <v>2</v>
          </cell>
          <cell r="F364" t="str">
            <v>USD</v>
          </cell>
          <cell r="G364">
            <v>30</v>
          </cell>
          <cell r="H364">
            <v>1541</v>
          </cell>
          <cell r="I364">
            <v>1</v>
          </cell>
          <cell r="J364" t="str">
            <v>АК АПИБ "Агроинвестбанк"</v>
          </cell>
          <cell r="K364">
            <v>46230</v>
          </cell>
          <cell r="L364">
            <v>1561.7832236842105</v>
          </cell>
          <cell r="M364">
            <v>1.0134868421052632</v>
          </cell>
          <cell r="N364">
            <v>46853.49671052632</v>
          </cell>
        </row>
        <row r="365">
          <cell r="A365">
            <v>2003</v>
          </cell>
          <cell r="B365">
            <v>3</v>
          </cell>
          <cell r="C365">
            <v>1</v>
          </cell>
          <cell r="D365">
            <v>90</v>
          </cell>
          <cell r="E365">
            <v>2</v>
          </cell>
          <cell r="F365" t="str">
            <v>TJS</v>
          </cell>
          <cell r="G365">
            <v>50</v>
          </cell>
          <cell r="H365">
            <v>4000</v>
          </cell>
          <cell r="I365">
            <v>1</v>
          </cell>
          <cell r="J365" t="str">
            <v>АКБ "Эсхата"</v>
          </cell>
          <cell r="K365">
            <v>200000</v>
          </cell>
          <cell r="L365">
            <v>4000</v>
          </cell>
          <cell r="M365">
            <v>1</v>
          </cell>
          <cell r="N365">
            <v>200000</v>
          </cell>
        </row>
        <row r="366">
          <cell r="A366">
            <v>2003</v>
          </cell>
          <cell r="B366">
            <v>3</v>
          </cell>
          <cell r="C366">
            <v>1</v>
          </cell>
          <cell r="D366">
            <v>180</v>
          </cell>
          <cell r="E366">
            <v>2</v>
          </cell>
          <cell r="F366" t="str">
            <v>TJS</v>
          </cell>
          <cell r="G366">
            <v>30</v>
          </cell>
          <cell r="H366">
            <v>12000</v>
          </cell>
          <cell r="I366">
            <v>1</v>
          </cell>
          <cell r="J366" t="str">
            <v>АКБ "Эсхата"</v>
          </cell>
          <cell r="K366">
            <v>360000</v>
          </cell>
          <cell r="L366">
            <v>12000</v>
          </cell>
          <cell r="M366">
            <v>1</v>
          </cell>
          <cell r="N366">
            <v>360000</v>
          </cell>
        </row>
        <row r="367">
          <cell r="A367">
            <v>2003</v>
          </cell>
          <cell r="B367">
            <v>3</v>
          </cell>
          <cell r="C367">
            <v>3</v>
          </cell>
          <cell r="D367">
            <v>300</v>
          </cell>
          <cell r="E367">
            <v>0</v>
          </cell>
          <cell r="F367" t="str">
            <v>TJS</v>
          </cell>
          <cell r="G367">
            <v>30</v>
          </cell>
          <cell r="H367">
            <v>50000</v>
          </cell>
          <cell r="I367">
            <v>1</v>
          </cell>
          <cell r="J367" t="str">
            <v>АКБ "Эсхата"</v>
          </cell>
          <cell r="K367">
            <v>1500000</v>
          </cell>
          <cell r="L367">
            <v>50000</v>
          </cell>
          <cell r="M367">
            <v>1</v>
          </cell>
          <cell r="N367">
            <v>1500000</v>
          </cell>
        </row>
        <row r="368">
          <cell r="A368">
            <v>2003</v>
          </cell>
          <cell r="B368">
            <v>3</v>
          </cell>
          <cell r="C368">
            <v>1</v>
          </cell>
          <cell r="D368">
            <v>90</v>
          </cell>
          <cell r="E368">
            <v>2</v>
          </cell>
          <cell r="F368" t="str">
            <v>USD</v>
          </cell>
          <cell r="G368">
            <v>30</v>
          </cell>
          <cell r="H368">
            <v>35432</v>
          </cell>
          <cell r="I368">
            <v>2</v>
          </cell>
          <cell r="J368" t="str">
            <v>АКБ "Эсхата"</v>
          </cell>
          <cell r="K368">
            <v>1062960</v>
          </cell>
          <cell r="L368">
            <v>35909.86578947368</v>
          </cell>
          <cell r="M368">
            <v>1.0134868421052632</v>
          </cell>
          <cell r="N368">
            <v>1077295.9736842106</v>
          </cell>
        </row>
        <row r="369">
          <cell r="A369">
            <v>2003</v>
          </cell>
          <cell r="B369">
            <v>3</v>
          </cell>
          <cell r="C369">
            <v>1</v>
          </cell>
          <cell r="D369">
            <v>90</v>
          </cell>
          <cell r="E369">
            <v>2</v>
          </cell>
          <cell r="F369" t="str">
            <v>TJS</v>
          </cell>
          <cell r="G369">
            <v>48</v>
          </cell>
          <cell r="H369">
            <v>8537</v>
          </cell>
          <cell r="I369">
            <v>2</v>
          </cell>
          <cell r="J369" t="str">
            <v>АКБ "Эсхата"</v>
          </cell>
          <cell r="K369">
            <v>409776</v>
          </cell>
          <cell r="L369">
            <v>8537</v>
          </cell>
          <cell r="M369">
            <v>1</v>
          </cell>
          <cell r="N369">
            <v>409776</v>
          </cell>
        </row>
        <row r="370">
          <cell r="A370">
            <v>2003</v>
          </cell>
          <cell r="B370">
            <v>3</v>
          </cell>
          <cell r="C370">
            <v>1</v>
          </cell>
          <cell r="D370">
            <v>300</v>
          </cell>
          <cell r="E370">
            <v>1</v>
          </cell>
          <cell r="F370" t="str">
            <v>TJS</v>
          </cell>
          <cell r="G370">
            <v>36</v>
          </cell>
          <cell r="H370">
            <v>50000</v>
          </cell>
          <cell r="I370">
            <v>1</v>
          </cell>
          <cell r="J370" t="str">
            <v>АКБ "Эсхата"</v>
          </cell>
          <cell r="K370">
            <v>1800000</v>
          </cell>
          <cell r="L370">
            <v>50000</v>
          </cell>
          <cell r="M370">
            <v>1</v>
          </cell>
          <cell r="N370">
            <v>1800000</v>
          </cell>
        </row>
        <row r="371">
          <cell r="A371">
            <v>2003</v>
          </cell>
          <cell r="B371">
            <v>3</v>
          </cell>
          <cell r="C371">
            <v>3</v>
          </cell>
          <cell r="D371">
            <v>360</v>
          </cell>
          <cell r="E371">
            <v>1</v>
          </cell>
          <cell r="F371" t="str">
            <v>TJS</v>
          </cell>
          <cell r="G371">
            <v>12</v>
          </cell>
          <cell r="H371">
            <v>14632</v>
          </cell>
          <cell r="I371">
            <v>4</v>
          </cell>
          <cell r="J371" t="str">
            <v>АОЗТ"Кафолат"</v>
          </cell>
          <cell r="K371">
            <v>175584</v>
          </cell>
          <cell r="L371">
            <v>14632</v>
          </cell>
          <cell r="M371">
            <v>1</v>
          </cell>
          <cell r="N371">
            <v>175584</v>
          </cell>
        </row>
        <row r="372">
          <cell r="A372">
            <v>2003</v>
          </cell>
          <cell r="B372">
            <v>3</v>
          </cell>
          <cell r="C372">
            <v>3</v>
          </cell>
          <cell r="D372">
            <v>210</v>
          </cell>
          <cell r="E372">
            <v>1</v>
          </cell>
          <cell r="F372" t="str">
            <v>TJS</v>
          </cell>
          <cell r="G372">
            <v>12</v>
          </cell>
          <cell r="H372">
            <v>25000</v>
          </cell>
          <cell r="I372">
            <v>1</v>
          </cell>
          <cell r="J372" t="str">
            <v>АОЗТ"Кафолат"</v>
          </cell>
          <cell r="K372">
            <v>300000</v>
          </cell>
          <cell r="L372">
            <v>25000</v>
          </cell>
          <cell r="M372">
            <v>1</v>
          </cell>
          <cell r="N372">
            <v>300000</v>
          </cell>
        </row>
        <row r="373">
          <cell r="A373">
            <v>2003</v>
          </cell>
          <cell r="B373">
            <v>3</v>
          </cell>
          <cell r="C373">
            <v>1</v>
          </cell>
          <cell r="D373">
            <v>180</v>
          </cell>
          <cell r="E373">
            <v>2</v>
          </cell>
          <cell r="F373" t="str">
            <v>TJS</v>
          </cell>
          <cell r="G373">
            <v>32</v>
          </cell>
          <cell r="H373">
            <v>350</v>
          </cell>
          <cell r="I373">
            <v>1</v>
          </cell>
          <cell r="J373" t="str">
            <v>АОЗТ"Кафолат"</v>
          </cell>
          <cell r="K373">
            <v>11200</v>
          </cell>
          <cell r="L373">
            <v>350</v>
          </cell>
          <cell r="M373">
            <v>1</v>
          </cell>
          <cell r="N373">
            <v>11200</v>
          </cell>
        </row>
        <row r="374">
          <cell r="A374">
            <v>2003</v>
          </cell>
          <cell r="B374">
            <v>3</v>
          </cell>
          <cell r="C374">
            <v>1</v>
          </cell>
          <cell r="D374">
            <v>270</v>
          </cell>
          <cell r="E374">
            <v>1</v>
          </cell>
          <cell r="F374" t="str">
            <v>TJS</v>
          </cell>
          <cell r="G374">
            <v>12</v>
          </cell>
          <cell r="H374">
            <v>13000</v>
          </cell>
          <cell r="I374">
            <v>1</v>
          </cell>
          <cell r="J374" t="str">
            <v>АОЗТ"Кафолат"</v>
          </cell>
          <cell r="K374">
            <v>156000</v>
          </cell>
          <cell r="L374">
            <v>13000</v>
          </cell>
          <cell r="M374">
            <v>1</v>
          </cell>
          <cell r="N374">
            <v>156000</v>
          </cell>
        </row>
        <row r="375">
          <cell r="A375">
            <v>2003</v>
          </cell>
          <cell r="B375">
            <v>3</v>
          </cell>
          <cell r="C375">
            <v>1</v>
          </cell>
          <cell r="D375">
            <v>30</v>
          </cell>
          <cell r="E375">
            <v>2</v>
          </cell>
          <cell r="F375" t="str">
            <v>USD</v>
          </cell>
          <cell r="G375">
            <v>36</v>
          </cell>
          <cell r="H375">
            <v>20643</v>
          </cell>
          <cell r="I375">
            <v>1</v>
          </cell>
          <cell r="J375" t="str">
            <v>АОЗТ"Кафолат"</v>
          </cell>
          <cell r="K375">
            <v>743148</v>
          </cell>
          <cell r="L375">
            <v>20921.408881578947</v>
          </cell>
          <cell r="M375">
            <v>1.0134868421052632</v>
          </cell>
          <cell r="N375">
            <v>753170.7197368421</v>
          </cell>
        </row>
        <row r="376">
          <cell r="A376">
            <v>2003</v>
          </cell>
          <cell r="B376">
            <v>3</v>
          </cell>
          <cell r="C376">
            <v>1</v>
          </cell>
          <cell r="D376">
            <v>180</v>
          </cell>
          <cell r="E376">
            <v>2</v>
          </cell>
          <cell r="F376" t="str">
            <v>USD</v>
          </cell>
          <cell r="G376">
            <v>36</v>
          </cell>
          <cell r="H376">
            <v>75022</v>
          </cell>
          <cell r="I376">
            <v>8</v>
          </cell>
          <cell r="J376" t="str">
            <v>АОЗТ"Кафолат"</v>
          </cell>
          <cell r="K376">
            <v>2700792</v>
          </cell>
          <cell r="L376">
            <v>76033.80986842106</v>
          </cell>
          <cell r="M376">
            <v>1.0134868421052632</v>
          </cell>
          <cell r="N376">
            <v>2737217.155263158</v>
          </cell>
        </row>
        <row r="377">
          <cell r="A377">
            <v>2003</v>
          </cell>
          <cell r="B377">
            <v>3</v>
          </cell>
          <cell r="C377">
            <v>1</v>
          </cell>
          <cell r="D377">
            <v>360</v>
          </cell>
          <cell r="E377">
            <v>2</v>
          </cell>
          <cell r="F377" t="str">
            <v>USD</v>
          </cell>
          <cell r="G377">
            <v>30</v>
          </cell>
          <cell r="H377">
            <v>2157</v>
          </cell>
          <cell r="I377">
            <v>1</v>
          </cell>
          <cell r="J377" t="str">
            <v>АОЗТ"Кафолат"</v>
          </cell>
          <cell r="K377">
            <v>64710</v>
          </cell>
          <cell r="L377">
            <v>2186.0911184210527</v>
          </cell>
          <cell r="M377">
            <v>1.0134868421052632</v>
          </cell>
          <cell r="N377">
            <v>65582.73355263159</v>
          </cell>
        </row>
        <row r="378">
          <cell r="A378">
            <v>2003</v>
          </cell>
          <cell r="B378">
            <v>3</v>
          </cell>
          <cell r="C378">
            <v>1</v>
          </cell>
          <cell r="D378">
            <v>360</v>
          </cell>
          <cell r="E378">
            <v>2</v>
          </cell>
          <cell r="F378" t="str">
            <v>USD</v>
          </cell>
          <cell r="G378">
            <v>60</v>
          </cell>
          <cell r="H378">
            <v>6162</v>
          </cell>
          <cell r="I378">
            <v>1</v>
          </cell>
          <cell r="J378" t="str">
            <v>АОЗТ"Кафолат"</v>
          </cell>
          <cell r="K378">
            <v>369720</v>
          </cell>
          <cell r="L378">
            <v>6245.105921052632</v>
          </cell>
          <cell r="M378">
            <v>1.0134868421052632</v>
          </cell>
          <cell r="N378">
            <v>374706.3552631579</v>
          </cell>
        </row>
        <row r="379">
          <cell r="A379">
            <v>2003</v>
          </cell>
          <cell r="B379">
            <v>3</v>
          </cell>
          <cell r="C379">
            <v>1</v>
          </cell>
          <cell r="D379">
            <v>180</v>
          </cell>
          <cell r="E379">
            <v>2</v>
          </cell>
          <cell r="F379" t="str">
            <v>USD</v>
          </cell>
          <cell r="G379">
            <v>60</v>
          </cell>
          <cell r="H379">
            <v>18178</v>
          </cell>
          <cell r="I379">
            <v>3</v>
          </cell>
          <cell r="J379" t="str">
            <v>АОЗТ"Кафолат"</v>
          </cell>
          <cell r="K379">
            <v>1090680</v>
          </cell>
          <cell r="L379">
            <v>18423.163815789474</v>
          </cell>
          <cell r="M379">
            <v>1.0134868421052632</v>
          </cell>
          <cell r="N379">
            <v>1105389.8289473685</v>
          </cell>
        </row>
        <row r="380">
          <cell r="A380">
            <v>2003</v>
          </cell>
          <cell r="B380">
            <v>3</v>
          </cell>
          <cell r="C380">
            <v>1</v>
          </cell>
          <cell r="D380">
            <v>90</v>
          </cell>
          <cell r="E380">
            <v>2</v>
          </cell>
          <cell r="F380" t="str">
            <v>USD</v>
          </cell>
          <cell r="G380">
            <v>36</v>
          </cell>
          <cell r="H380">
            <v>616</v>
          </cell>
          <cell r="I380">
            <v>1</v>
          </cell>
          <cell r="J380" t="str">
            <v>АОЗТ"Кафолат"</v>
          </cell>
          <cell r="K380">
            <v>22176</v>
          </cell>
          <cell r="L380">
            <v>624.3078947368422</v>
          </cell>
          <cell r="M380">
            <v>1.0134868421052632</v>
          </cell>
          <cell r="N380">
            <v>22475.08421052632</v>
          </cell>
        </row>
        <row r="381">
          <cell r="A381">
            <v>2003</v>
          </cell>
          <cell r="B381">
            <v>3</v>
          </cell>
          <cell r="C381">
            <v>1</v>
          </cell>
          <cell r="D381">
            <v>150</v>
          </cell>
          <cell r="E381">
            <v>2</v>
          </cell>
          <cell r="F381" t="str">
            <v>USD</v>
          </cell>
          <cell r="G381">
            <v>36</v>
          </cell>
          <cell r="H381">
            <v>10013</v>
          </cell>
          <cell r="I381">
            <v>1</v>
          </cell>
          <cell r="J381" t="str">
            <v>АОЗТ"Кафолат"</v>
          </cell>
          <cell r="K381">
            <v>360468</v>
          </cell>
          <cell r="L381">
            <v>10148.04375</v>
          </cell>
          <cell r="M381">
            <v>1.0134868421052632</v>
          </cell>
          <cell r="N381">
            <v>365329.575</v>
          </cell>
        </row>
        <row r="382">
          <cell r="A382">
            <v>2003</v>
          </cell>
          <cell r="B382">
            <v>3</v>
          </cell>
          <cell r="C382">
            <v>1</v>
          </cell>
          <cell r="D382">
            <v>180</v>
          </cell>
          <cell r="E382">
            <v>2</v>
          </cell>
          <cell r="F382" t="str">
            <v>USD</v>
          </cell>
          <cell r="G382">
            <v>30</v>
          </cell>
          <cell r="H382">
            <v>308</v>
          </cell>
          <cell r="I382">
            <v>1</v>
          </cell>
          <cell r="J382" t="str">
            <v>АОЗТ"Кафолат"</v>
          </cell>
          <cell r="K382">
            <v>9240</v>
          </cell>
          <cell r="L382">
            <v>312.1539473684211</v>
          </cell>
          <cell r="M382">
            <v>1.0134868421052632</v>
          </cell>
          <cell r="N382">
            <v>9364.618421052632</v>
          </cell>
        </row>
        <row r="383">
          <cell r="A383">
            <v>2003</v>
          </cell>
          <cell r="B383">
            <v>3</v>
          </cell>
          <cell r="C383">
            <v>1</v>
          </cell>
          <cell r="D383">
            <v>360</v>
          </cell>
          <cell r="E383">
            <v>2</v>
          </cell>
          <cell r="F383" t="str">
            <v>TJS</v>
          </cell>
          <cell r="G383">
            <v>20</v>
          </cell>
          <cell r="H383">
            <v>250000</v>
          </cell>
          <cell r="I383">
            <v>4</v>
          </cell>
          <cell r="J383" t="str">
            <v>АОЗТ "Олимп"</v>
          </cell>
          <cell r="K383">
            <v>5000000</v>
          </cell>
          <cell r="L383">
            <v>250000</v>
          </cell>
          <cell r="M383">
            <v>1</v>
          </cell>
          <cell r="N383">
            <v>5000000</v>
          </cell>
        </row>
        <row r="384">
          <cell r="A384">
            <v>2003</v>
          </cell>
          <cell r="B384">
            <v>3</v>
          </cell>
          <cell r="C384">
            <v>1</v>
          </cell>
          <cell r="D384">
            <v>60</v>
          </cell>
          <cell r="E384">
            <v>2</v>
          </cell>
          <cell r="F384" t="str">
            <v>USD</v>
          </cell>
          <cell r="G384">
            <v>30</v>
          </cell>
          <cell r="H384">
            <v>15405</v>
          </cell>
          <cell r="I384">
            <v>1</v>
          </cell>
          <cell r="J384" t="str">
            <v>АОЗТ "Олимп"</v>
          </cell>
          <cell r="K384">
            <v>462150</v>
          </cell>
          <cell r="L384">
            <v>15612.76480263158</v>
          </cell>
          <cell r="M384">
            <v>1.0134868421052632</v>
          </cell>
          <cell r="N384">
            <v>468382.94407894736</v>
          </cell>
        </row>
        <row r="385">
          <cell r="A385">
            <v>2003</v>
          </cell>
          <cell r="B385">
            <v>3</v>
          </cell>
          <cell r="C385">
            <v>1</v>
          </cell>
          <cell r="D385">
            <v>26</v>
          </cell>
          <cell r="E385">
            <v>2</v>
          </cell>
          <cell r="F385" t="str">
            <v>TJS</v>
          </cell>
          <cell r="G385">
            <v>30</v>
          </cell>
          <cell r="H385">
            <v>45000</v>
          </cell>
          <cell r="I385">
            <v>1</v>
          </cell>
          <cell r="J385" t="str">
            <v>АОЗТ "Олимп"</v>
          </cell>
          <cell r="K385">
            <v>1350000</v>
          </cell>
          <cell r="L385">
            <v>45000</v>
          </cell>
          <cell r="M385">
            <v>1</v>
          </cell>
          <cell r="N385">
            <v>1350000</v>
          </cell>
        </row>
        <row r="386">
          <cell r="A386">
            <v>2003</v>
          </cell>
          <cell r="B386">
            <v>3</v>
          </cell>
          <cell r="C386">
            <v>3</v>
          </cell>
          <cell r="D386">
            <v>360</v>
          </cell>
          <cell r="E386">
            <v>1</v>
          </cell>
          <cell r="F386" t="str">
            <v>TJS</v>
          </cell>
          <cell r="G386">
            <v>30</v>
          </cell>
          <cell r="H386">
            <v>7500</v>
          </cell>
          <cell r="I386">
            <v>1</v>
          </cell>
          <cell r="J386" t="str">
            <v>ГАКБ "Точиксодиротбонк"</v>
          </cell>
          <cell r="K386">
            <v>225000</v>
          </cell>
          <cell r="L386">
            <v>7500</v>
          </cell>
          <cell r="M386">
            <v>1</v>
          </cell>
          <cell r="N386">
            <v>225000</v>
          </cell>
        </row>
        <row r="387">
          <cell r="A387">
            <v>2003</v>
          </cell>
          <cell r="B387">
            <v>3</v>
          </cell>
          <cell r="C387">
            <v>1</v>
          </cell>
          <cell r="D387">
            <v>30</v>
          </cell>
          <cell r="E387">
            <v>1</v>
          </cell>
          <cell r="F387" t="str">
            <v>TJS</v>
          </cell>
          <cell r="G387">
            <v>25</v>
          </cell>
          <cell r="H387">
            <v>236550</v>
          </cell>
          <cell r="I387">
            <v>1</v>
          </cell>
          <cell r="J387" t="str">
            <v>ГАКБ "Точиксодиротбонк"</v>
          </cell>
          <cell r="K387">
            <v>5913750</v>
          </cell>
          <cell r="L387">
            <v>236550</v>
          </cell>
          <cell r="M387">
            <v>1</v>
          </cell>
          <cell r="N387">
            <v>5913750</v>
          </cell>
        </row>
        <row r="388">
          <cell r="A388">
            <v>2003</v>
          </cell>
          <cell r="B388">
            <v>3</v>
          </cell>
          <cell r="C388">
            <v>1</v>
          </cell>
          <cell r="D388">
            <v>180</v>
          </cell>
          <cell r="E388">
            <v>1</v>
          </cell>
          <cell r="F388" t="str">
            <v>TJS</v>
          </cell>
          <cell r="G388">
            <v>25</v>
          </cell>
          <cell r="H388">
            <v>99850</v>
          </cell>
          <cell r="I388">
            <v>1</v>
          </cell>
          <cell r="J388" t="str">
            <v>ГАКБ "Точиксодиротбонк"</v>
          </cell>
          <cell r="K388">
            <v>2496250</v>
          </cell>
          <cell r="L388">
            <v>99850</v>
          </cell>
          <cell r="M388">
            <v>1</v>
          </cell>
          <cell r="N388">
            <v>2496250</v>
          </cell>
        </row>
        <row r="389">
          <cell r="A389">
            <v>2003</v>
          </cell>
          <cell r="B389">
            <v>3</v>
          </cell>
          <cell r="C389">
            <v>3</v>
          </cell>
          <cell r="D389">
            <v>360</v>
          </cell>
          <cell r="E389">
            <v>1</v>
          </cell>
          <cell r="F389" t="str">
            <v>TJS</v>
          </cell>
          <cell r="G389">
            <v>18</v>
          </cell>
          <cell r="H389">
            <v>486921</v>
          </cell>
          <cell r="I389">
            <v>6</v>
          </cell>
          <cell r="J389" t="str">
            <v>ГАКБ "Точиксодиротбонк"</v>
          </cell>
          <cell r="K389">
            <v>8764578</v>
          </cell>
          <cell r="L389">
            <v>486921</v>
          </cell>
          <cell r="M389">
            <v>1</v>
          </cell>
          <cell r="N389">
            <v>8764578</v>
          </cell>
        </row>
        <row r="390">
          <cell r="A390">
            <v>2003</v>
          </cell>
          <cell r="B390">
            <v>3</v>
          </cell>
          <cell r="C390">
            <v>1</v>
          </cell>
          <cell r="D390">
            <v>360</v>
          </cell>
          <cell r="E390">
            <v>1</v>
          </cell>
          <cell r="F390" t="str">
            <v>TJS</v>
          </cell>
          <cell r="G390">
            <v>20</v>
          </cell>
          <cell r="H390">
            <v>50000</v>
          </cell>
          <cell r="I390">
            <v>1</v>
          </cell>
          <cell r="J390" t="str">
            <v>ГАКБ "Точиксодиротбонк"</v>
          </cell>
          <cell r="K390">
            <v>1000000</v>
          </cell>
          <cell r="L390">
            <v>50000</v>
          </cell>
          <cell r="M390">
            <v>1</v>
          </cell>
          <cell r="N390">
            <v>1000000</v>
          </cell>
        </row>
        <row r="391">
          <cell r="A391">
            <v>2003</v>
          </cell>
          <cell r="B391">
            <v>3</v>
          </cell>
          <cell r="C391">
            <v>1</v>
          </cell>
          <cell r="D391">
            <v>360</v>
          </cell>
          <cell r="E391">
            <v>1</v>
          </cell>
          <cell r="F391" t="str">
            <v>TJS</v>
          </cell>
          <cell r="G391">
            <v>22</v>
          </cell>
          <cell r="H391">
            <v>460000</v>
          </cell>
          <cell r="I391">
            <v>1</v>
          </cell>
          <cell r="J391" t="str">
            <v>ГАКБ "Точиксодиротбонк"</v>
          </cell>
          <cell r="K391">
            <v>10120000</v>
          </cell>
          <cell r="L391">
            <v>460000</v>
          </cell>
          <cell r="M391">
            <v>1</v>
          </cell>
          <cell r="N391">
            <v>10120000</v>
          </cell>
        </row>
        <row r="392">
          <cell r="A392">
            <v>2003</v>
          </cell>
          <cell r="B392">
            <v>3</v>
          </cell>
          <cell r="C392">
            <v>1</v>
          </cell>
          <cell r="D392">
            <v>180</v>
          </cell>
          <cell r="E392">
            <v>2</v>
          </cell>
          <cell r="F392" t="str">
            <v>TJS</v>
          </cell>
          <cell r="G392">
            <v>36</v>
          </cell>
          <cell r="H392">
            <v>12272</v>
          </cell>
          <cell r="I392">
            <v>1</v>
          </cell>
          <cell r="J392" t="str">
            <v>ГАКБ "Точиксодиротбонк"</v>
          </cell>
          <cell r="K392">
            <v>441792</v>
          </cell>
          <cell r="L392">
            <v>12272</v>
          </cell>
          <cell r="M392">
            <v>1</v>
          </cell>
          <cell r="N392">
            <v>441792</v>
          </cell>
        </row>
        <row r="393">
          <cell r="A393">
            <v>2003</v>
          </cell>
          <cell r="B393">
            <v>3</v>
          </cell>
          <cell r="C393">
            <v>3</v>
          </cell>
          <cell r="D393">
            <v>360</v>
          </cell>
          <cell r="E393">
            <v>1</v>
          </cell>
          <cell r="F393" t="str">
            <v>USD</v>
          </cell>
          <cell r="G393">
            <v>25</v>
          </cell>
          <cell r="H393">
            <v>235968</v>
          </cell>
          <cell r="I393">
            <v>1</v>
          </cell>
          <cell r="J393" t="str">
            <v>ГАКБ "Точиксодиротбонк"</v>
          </cell>
          <cell r="K393">
            <v>5899200</v>
          </cell>
          <cell r="L393">
            <v>239150.46315789473</v>
          </cell>
          <cell r="M393">
            <v>1.0134868421052632</v>
          </cell>
          <cell r="N393">
            <v>5978761.578947369</v>
          </cell>
        </row>
        <row r="394">
          <cell r="A394">
            <v>2003</v>
          </cell>
          <cell r="B394">
            <v>3</v>
          </cell>
          <cell r="C394">
            <v>3</v>
          </cell>
          <cell r="D394">
            <v>180</v>
          </cell>
          <cell r="E394">
            <v>1</v>
          </cell>
          <cell r="F394" t="str">
            <v>USD</v>
          </cell>
          <cell r="G394">
            <v>22</v>
          </cell>
          <cell r="H394">
            <v>1460687</v>
          </cell>
          <cell r="I394">
            <v>2</v>
          </cell>
          <cell r="J394" t="str">
            <v>ГАКБ "Точиксодиротбонк"</v>
          </cell>
          <cell r="K394">
            <v>32135114</v>
          </cell>
          <cell r="L394">
            <v>1480387.0549342106</v>
          </cell>
          <cell r="M394">
            <v>1.0134868421052632</v>
          </cell>
          <cell r="N394">
            <v>32568515.208552632</v>
          </cell>
        </row>
        <row r="395">
          <cell r="A395">
            <v>2003</v>
          </cell>
          <cell r="B395">
            <v>3</v>
          </cell>
          <cell r="C395">
            <v>3</v>
          </cell>
          <cell r="D395">
            <v>180</v>
          </cell>
          <cell r="E395">
            <v>1</v>
          </cell>
          <cell r="F395" t="str">
            <v>USD</v>
          </cell>
          <cell r="G395">
            <v>25</v>
          </cell>
          <cell r="H395">
            <v>437155</v>
          </cell>
          <cell r="I395">
            <v>2</v>
          </cell>
          <cell r="J395" t="str">
            <v>ГАКБ "Точиксодиротбонк"</v>
          </cell>
          <cell r="K395">
            <v>10928875</v>
          </cell>
          <cell r="L395">
            <v>443050.84046052635</v>
          </cell>
          <cell r="M395">
            <v>1.0134868421052632</v>
          </cell>
          <cell r="N395">
            <v>11076271.011513159</v>
          </cell>
        </row>
        <row r="396">
          <cell r="A396">
            <v>2003</v>
          </cell>
          <cell r="B396">
            <v>3</v>
          </cell>
          <cell r="C396">
            <v>3</v>
          </cell>
          <cell r="D396">
            <v>360</v>
          </cell>
          <cell r="E396">
            <v>1</v>
          </cell>
          <cell r="F396" t="str">
            <v>USD</v>
          </cell>
          <cell r="G396">
            <v>1</v>
          </cell>
          <cell r="H396">
            <v>154050</v>
          </cell>
          <cell r="I396">
            <v>1</v>
          </cell>
          <cell r="J396" t="str">
            <v>ГАКБ "Точиксодиротбонк"</v>
          </cell>
          <cell r="K396">
            <v>154050</v>
          </cell>
          <cell r="L396">
            <v>156127.6480263158</v>
          </cell>
          <cell r="M396">
            <v>1.0134868421052632</v>
          </cell>
          <cell r="N396">
            <v>156127.6480263158</v>
          </cell>
        </row>
        <row r="397">
          <cell r="A397">
            <v>2003</v>
          </cell>
          <cell r="B397">
            <v>3</v>
          </cell>
          <cell r="C397">
            <v>1</v>
          </cell>
          <cell r="D397">
            <v>300</v>
          </cell>
          <cell r="E397">
            <v>1</v>
          </cell>
          <cell r="F397" t="str">
            <v>USD</v>
          </cell>
          <cell r="G397">
            <v>25</v>
          </cell>
          <cell r="H397">
            <v>1259805</v>
          </cell>
          <cell r="I397">
            <v>1</v>
          </cell>
          <cell r="J397" t="str">
            <v>ГАКБ "Точиксодиротбонк"</v>
          </cell>
          <cell r="K397">
            <v>31495125</v>
          </cell>
          <cell r="L397">
            <v>1276795.7911184211</v>
          </cell>
          <cell r="M397">
            <v>1.0134868421052632</v>
          </cell>
          <cell r="N397">
            <v>31919894.777960528</v>
          </cell>
        </row>
        <row r="398">
          <cell r="A398">
            <v>2003</v>
          </cell>
          <cell r="B398">
            <v>3</v>
          </cell>
          <cell r="C398">
            <v>2</v>
          </cell>
          <cell r="D398">
            <v>360</v>
          </cell>
          <cell r="E398">
            <v>1</v>
          </cell>
          <cell r="F398" t="str">
            <v>USD</v>
          </cell>
          <cell r="G398">
            <v>25</v>
          </cell>
          <cell r="H398">
            <v>369720</v>
          </cell>
          <cell r="I398">
            <v>1</v>
          </cell>
          <cell r="J398" t="str">
            <v>ГАКБ "Точиксодиротбонк"</v>
          </cell>
          <cell r="K398">
            <v>9243000</v>
          </cell>
          <cell r="L398">
            <v>374706.3552631579</v>
          </cell>
          <cell r="M398">
            <v>1.0134868421052632</v>
          </cell>
          <cell r="N398">
            <v>9367658.881578948</v>
          </cell>
        </row>
        <row r="399">
          <cell r="A399">
            <v>2003</v>
          </cell>
          <cell r="B399">
            <v>3</v>
          </cell>
          <cell r="C399">
            <v>2</v>
          </cell>
          <cell r="D399">
            <v>210</v>
          </cell>
          <cell r="E399">
            <v>1</v>
          </cell>
          <cell r="F399" t="str">
            <v>USD</v>
          </cell>
          <cell r="G399">
            <v>25</v>
          </cell>
          <cell r="H399">
            <v>160212</v>
          </cell>
          <cell r="I399">
            <v>1</v>
          </cell>
          <cell r="J399" t="str">
            <v>ГАКБ "Точиксодиротбонк"</v>
          </cell>
          <cell r="K399">
            <v>4005300</v>
          </cell>
          <cell r="L399">
            <v>162372.75394736842</v>
          </cell>
          <cell r="M399">
            <v>1.0134868421052632</v>
          </cell>
          <cell r="N399">
            <v>4059318.848684211</v>
          </cell>
        </row>
        <row r="400">
          <cell r="A400">
            <v>2003</v>
          </cell>
          <cell r="B400">
            <v>3</v>
          </cell>
          <cell r="C400">
            <v>1</v>
          </cell>
          <cell r="D400">
            <v>270</v>
          </cell>
          <cell r="E400">
            <v>1</v>
          </cell>
          <cell r="F400" t="str">
            <v>USD</v>
          </cell>
          <cell r="G400">
            <v>26</v>
          </cell>
          <cell r="H400">
            <v>86381</v>
          </cell>
          <cell r="I400">
            <v>1</v>
          </cell>
          <cell r="J400" t="str">
            <v>ГАКБ "Точиксодиротбонк"</v>
          </cell>
          <cell r="K400">
            <v>2245906</v>
          </cell>
          <cell r="L400">
            <v>87546.00690789474</v>
          </cell>
          <cell r="M400">
            <v>1.0134868421052632</v>
          </cell>
          <cell r="N400">
            <v>2276196.1796052633</v>
          </cell>
        </row>
        <row r="401">
          <cell r="A401">
            <v>2003</v>
          </cell>
          <cell r="B401">
            <v>3</v>
          </cell>
          <cell r="C401">
            <v>1</v>
          </cell>
          <cell r="D401">
            <v>90</v>
          </cell>
          <cell r="E401">
            <v>2</v>
          </cell>
          <cell r="F401" t="str">
            <v>USD</v>
          </cell>
          <cell r="G401">
            <v>20</v>
          </cell>
          <cell r="H401">
            <v>2157</v>
          </cell>
          <cell r="I401">
            <v>1</v>
          </cell>
          <cell r="J401" t="str">
            <v>ГАКБ "Точиксодиротбонк"</v>
          </cell>
          <cell r="K401">
            <v>43140</v>
          </cell>
          <cell r="L401">
            <v>2186.0911184210527</v>
          </cell>
          <cell r="M401">
            <v>1.0134868421052632</v>
          </cell>
          <cell r="N401">
            <v>43721.82236842105</v>
          </cell>
        </row>
        <row r="402">
          <cell r="A402">
            <v>2003</v>
          </cell>
          <cell r="B402">
            <v>3</v>
          </cell>
          <cell r="C402">
            <v>5</v>
          </cell>
          <cell r="D402">
            <v>270</v>
          </cell>
          <cell r="E402">
            <v>1</v>
          </cell>
          <cell r="F402" t="str">
            <v>USD</v>
          </cell>
          <cell r="G402">
            <v>25</v>
          </cell>
          <cell r="H402">
            <v>123240</v>
          </cell>
          <cell r="I402">
            <v>1</v>
          </cell>
          <cell r="J402" t="str">
            <v>ГАКБ "Точиксодиротбонк"</v>
          </cell>
          <cell r="K402">
            <v>3081000</v>
          </cell>
          <cell r="L402">
            <v>124902.11842105264</v>
          </cell>
          <cell r="M402">
            <v>1.0134868421052632</v>
          </cell>
          <cell r="N402">
            <v>3122552.960526316</v>
          </cell>
        </row>
        <row r="403">
          <cell r="A403">
            <v>2003</v>
          </cell>
          <cell r="B403">
            <v>3</v>
          </cell>
          <cell r="C403">
            <v>1</v>
          </cell>
          <cell r="D403">
            <v>180</v>
          </cell>
          <cell r="E403">
            <v>2</v>
          </cell>
          <cell r="F403" t="str">
            <v>TJS</v>
          </cell>
          <cell r="G403">
            <v>48</v>
          </cell>
          <cell r="H403">
            <v>5500</v>
          </cell>
          <cell r="I403">
            <v>2</v>
          </cell>
          <cell r="J403" t="str">
            <v>ГАКБ "Точиксодиротбонк"</v>
          </cell>
          <cell r="K403">
            <v>264000</v>
          </cell>
          <cell r="L403">
            <v>5500</v>
          </cell>
          <cell r="M403">
            <v>1</v>
          </cell>
          <cell r="N403">
            <v>264000</v>
          </cell>
        </row>
        <row r="404">
          <cell r="A404">
            <v>2003</v>
          </cell>
          <cell r="B404">
            <v>3</v>
          </cell>
          <cell r="C404">
            <v>1</v>
          </cell>
          <cell r="D404">
            <v>240</v>
          </cell>
          <cell r="E404">
            <v>2</v>
          </cell>
          <cell r="F404" t="str">
            <v>TJS</v>
          </cell>
          <cell r="G404">
            <v>48</v>
          </cell>
          <cell r="H404">
            <v>5000</v>
          </cell>
          <cell r="I404">
            <v>1</v>
          </cell>
          <cell r="J404" t="str">
            <v>ГАКБ "Точиксодиротбонк"</v>
          </cell>
          <cell r="K404">
            <v>240000</v>
          </cell>
          <cell r="L404">
            <v>5000</v>
          </cell>
          <cell r="M404">
            <v>1</v>
          </cell>
          <cell r="N404">
            <v>240000</v>
          </cell>
        </row>
        <row r="405">
          <cell r="A405">
            <v>2003</v>
          </cell>
          <cell r="B405">
            <v>3</v>
          </cell>
          <cell r="C405">
            <v>5</v>
          </cell>
          <cell r="D405">
            <v>30</v>
          </cell>
          <cell r="E405">
            <v>2</v>
          </cell>
          <cell r="F405" t="str">
            <v>TJS</v>
          </cell>
          <cell r="G405">
            <v>48</v>
          </cell>
          <cell r="H405">
            <v>5788</v>
          </cell>
          <cell r="I405">
            <v>3</v>
          </cell>
          <cell r="J405" t="str">
            <v>ГАКБ "Точиксодиротбонк"</v>
          </cell>
          <cell r="K405">
            <v>277824</v>
          </cell>
          <cell r="L405">
            <v>5788</v>
          </cell>
          <cell r="M405">
            <v>1</v>
          </cell>
          <cell r="N405">
            <v>277824</v>
          </cell>
        </row>
        <row r="406">
          <cell r="A406">
            <v>2003</v>
          </cell>
          <cell r="B406">
            <v>3</v>
          </cell>
          <cell r="C406">
            <v>1</v>
          </cell>
          <cell r="D406">
            <v>210</v>
          </cell>
          <cell r="E406">
            <v>2</v>
          </cell>
          <cell r="F406" t="str">
            <v>TJS</v>
          </cell>
          <cell r="G406">
            <v>36</v>
          </cell>
          <cell r="H406">
            <v>8000</v>
          </cell>
          <cell r="I406">
            <v>1</v>
          </cell>
          <cell r="J406" t="str">
            <v>ГАКБ "Точиксодиротбонк"</v>
          </cell>
          <cell r="K406">
            <v>288000</v>
          </cell>
          <cell r="L406">
            <v>8000</v>
          </cell>
          <cell r="M406">
            <v>1</v>
          </cell>
          <cell r="N406">
            <v>288000</v>
          </cell>
        </row>
        <row r="407">
          <cell r="A407">
            <v>2003</v>
          </cell>
          <cell r="B407">
            <v>3</v>
          </cell>
          <cell r="C407">
            <v>1</v>
          </cell>
          <cell r="D407">
            <v>180</v>
          </cell>
          <cell r="E407">
            <v>2</v>
          </cell>
          <cell r="F407" t="str">
            <v>TJS</v>
          </cell>
          <cell r="G407">
            <v>48</v>
          </cell>
          <cell r="H407">
            <v>1500</v>
          </cell>
          <cell r="I407">
            <v>1</v>
          </cell>
          <cell r="J407" t="str">
            <v>ГАКБ "Точиксодиротбонк"</v>
          </cell>
          <cell r="K407">
            <v>72000</v>
          </cell>
          <cell r="L407">
            <v>1500</v>
          </cell>
          <cell r="M407">
            <v>1</v>
          </cell>
          <cell r="N407">
            <v>72000</v>
          </cell>
        </row>
        <row r="408">
          <cell r="A408">
            <v>2003</v>
          </cell>
          <cell r="B408">
            <v>3</v>
          </cell>
          <cell r="C408">
            <v>1</v>
          </cell>
          <cell r="D408">
            <v>270</v>
          </cell>
          <cell r="E408">
            <v>1</v>
          </cell>
          <cell r="F408" t="str">
            <v>TJS</v>
          </cell>
          <cell r="G408">
            <v>30</v>
          </cell>
          <cell r="H408">
            <v>10000</v>
          </cell>
          <cell r="I408">
            <v>1</v>
          </cell>
          <cell r="J408" t="str">
            <v>ГАКБ "Точиксодиротбонк"</v>
          </cell>
          <cell r="K408">
            <v>300000</v>
          </cell>
          <cell r="L408">
            <v>10000</v>
          </cell>
          <cell r="M408">
            <v>1</v>
          </cell>
          <cell r="N408">
            <v>300000</v>
          </cell>
        </row>
        <row r="409">
          <cell r="A409">
            <v>2003</v>
          </cell>
          <cell r="B409">
            <v>3</v>
          </cell>
          <cell r="C409">
            <v>1</v>
          </cell>
          <cell r="D409">
            <v>360</v>
          </cell>
          <cell r="E409">
            <v>1</v>
          </cell>
          <cell r="F409" t="str">
            <v>TJS</v>
          </cell>
          <cell r="G409">
            <v>20</v>
          </cell>
          <cell r="H409">
            <v>60000</v>
          </cell>
          <cell r="I409">
            <v>1</v>
          </cell>
          <cell r="J409" t="str">
            <v>ГАКБ "Точиксодиротбонк"</v>
          </cell>
          <cell r="K409">
            <v>1200000</v>
          </cell>
          <cell r="L409">
            <v>60000</v>
          </cell>
          <cell r="M409">
            <v>1</v>
          </cell>
          <cell r="N409">
            <v>1200000</v>
          </cell>
        </row>
        <row r="410">
          <cell r="A410">
            <v>2003</v>
          </cell>
          <cell r="B410">
            <v>3</v>
          </cell>
          <cell r="C410">
            <v>1</v>
          </cell>
          <cell r="D410">
            <v>180</v>
          </cell>
          <cell r="E410">
            <v>2</v>
          </cell>
          <cell r="F410" t="str">
            <v>TJS</v>
          </cell>
          <cell r="G410">
            <v>48</v>
          </cell>
          <cell r="H410">
            <v>34000</v>
          </cell>
          <cell r="I410">
            <v>3</v>
          </cell>
          <cell r="J410" t="str">
            <v>ГАКБ "Точиксодиротбонк"</v>
          </cell>
          <cell r="K410">
            <v>1632000</v>
          </cell>
          <cell r="L410">
            <v>34000</v>
          </cell>
          <cell r="M410">
            <v>1</v>
          </cell>
          <cell r="N410">
            <v>1632000</v>
          </cell>
        </row>
        <row r="411">
          <cell r="A411">
            <v>2003</v>
          </cell>
          <cell r="B411">
            <v>3</v>
          </cell>
          <cell r="C411">
            <v>1</v>
          </cell>
          <cell r="D411">
            <v>180</v>
          </cell>
          <cell r="E411">
            <v>1</v>
          </cell>
          <cell r="F411" t="str">
            <v>TJS</v>
          </cell>
          <cell r="G411">
            <v>36</v>
          </cell>
          <cell r="H411">
            <v>139200</v>
          </cell>
          <cell r="I411">
            <v>7</v>
          </cell>
          <cell r="J411" t="str">
            <v>ГАКБ "Точиксодиротбонк"</v>
          </cell>
          <cell r="K411">
            <v>5011200</v>
          </cell>
          <cell r="L411">
            <v>139200</v>
          </cell>
          <cell r="M411">
            <v>1</v>
          </cell>
          <cell r="N411">
            <v>5011200</v>
          </cell>
        </row>
        <row r="412">
          <cell r="A412">
            <v>2003</v>
          </cell>
          <cell r="B412">
            <v>3</v>
          </cell>
          <cell r="C412">
            <v>1</v>
          </cell>
          <cell r="D412">
            <v>180</v>
          </cell>
          <cell r="E412">
            <v>2</v>
          </cell>
          <cell r="F412" t="str">
            <v>TJS</v>
          </cell>
          <cell r="G412">
            <v>36</v>
          </cell>
          <cell r="H412">
            <v>7500</v>
          </cell>
          <cell r="I412">
            <v>3</v>
          </cell>
          <cell r="J412" t="str">
            <v>ГАКБ "Точиксодиротбонк"</v>
          </cell>
          <cell r="K412">
            <v>270000</v>
          </cell>
          <cell r="L412">
            <v>7500</v>
          </cell>
          <cell r="M412">
            <v>1</v>
          </cell>
          <cell r="N412">
            <v>270000</v>
          </cell>
        </row>
        <row r="413">
          <cell r="A413">
            <v>2003</v>
          </cell>
          <cell r="B413">
            <v>3</v>
          </cell>
          <cell r="C413">
            <v>1</v>
          </cell>
          <cell r="D413">
            <v>180</v>
          </cell>
          <cell r="E413">
            <v>2</v>
          </cell>
          <cell r="F413" t="str">
            <v>TJS</v>
          </cell>
          <cell r="G413">
            <v>60</v>
          </cell>
          <cell r="H413">
            <v>10370</v>
          </cell>
          <cell r="I413">
            <v>6</v>
          </cell>
          <cell r="J413" t="str">
            <v>ГАКБ "Точиксодиротбонк"</v>
          </cell>
          <cell r="K413">
            <v>622200</v>
          </cell>
          <cell r="L413">
            <v>10370</v>
          </cell>
          <cell r="M413">
            <v>1</v>
          </cell>
          <cell r="N413">
            <v>622200</v>
          </cell>
        </row>
        <row r="414">
          <cell r="A414">
            <v>2003</v>
          </cell>
          <cell r="B414">
            <v>3</v>
          </cell>
          <cell r="C414">
            <v>2</v>
          </cell>
          <cell r="D414">
            <v>180</v>
          </cell>
          <cell r="E414">
            <v>2</v>
          </cell>
          <cell r="F414" t="str">
            <v>TJS</v>
          </cell>
          <cell r="G414">
            <v>48</v>
          </cell>
          <cell r="H414">
            <v>73000</v>
          </cell>
          <cell r="I414">
            <v>6</v>
          </cell>
          <cell r="J414" t="str">
            <v>ГАКБ "Точиксодиротбонк"</v>
          </cell>
          <cell r="K414">
            <v>3504000</v>
          </cell>
          <cell r="L414">
            <v>73000</v>
          </cell>
          <cell r="M414">
            <v>1</v>
          </cell>
          <cell r="N414">
            <v>3504000</v>
          </cell>
        </row>
        <row r="415">
          <cell r="A415">
            <v>2003</v>
          </cell>
          <cell r="B415">
            <v>3</v>
          </cell>
          <cell r="C415">
            <v>1</v>
          </cell>
          <cell r="D415">
            <v>180</v>
          </cell>
          <cell r="E415">
            <v>2</v>
          </cell>
          <cell r="F415" t="str">
            <v>TJS</v>
          </cell>
          <cell r="G415">
            <v>30</v>
          </cell>
          <cell r="H415">
            <v>6300</v>
          </cell>
          <cell r="I415">
            <v>1</v>
          </cell>
          <cell r="J415" t="str">
            <v>КТОО "Фонон"</v>
          </cell>
          <cell r="K415">
            <v>189000</v>
          </cell>
          <cell r="L415">
            <v>6300</v>
          </cell>
          <cell r="M415">
            <v>1</v>
          </cell>
          <cell r="N415">
            <v>189000</v>
          </cell>
        </row>
        <row r="416">
          <cell r="A416">
            <v>2003</v>
          </cell>
          <cell r="B416">
            <v>3</v>
          </cell>
          <cell r="C416">
            <v>1</v>
          </cell>
          <cell r="D416">
            <v>20</v>
          </cell>
          <cell r="E416">
            <v>1</v>
          </cell>
          <cell r="F416" t="str">
            <v>TJS</v>
          </cell>
          <cell r="G416">
            <v>12</v>
          </cell>
          <cell r="H416">
            <v>7646454</v>
          </cell>
          <cell r="I416">
            <v>5</v>
          </cell>
          <cell r="J416" t="str">
            <v>СЛТ АКБ "Ист-Кредитбанк"</v>
          </cell>
          <cell r="K416">
            <v>91757448</v>
          </cell>
          <cell r="L416">
            <v>7646454</v>
          </cell>
          <cell r="M416">
            <v>1</v>
          </cell>
          <cell r="N416">
            <v>91757448</v>
          </cell>
        </row>
        <row r="417">
          <cell r="A417">
            <v>2003</v>
          </cell>
          <cell r="B417">
            <v>3</v>
          </cell>
          <cell r="C417">
            <v>1</v>
          </cell>
          <cell r="D417">
            <v>180</v>
          </cell>
          <cell r="E417">
            <v>1</v>
          </cell>
          <cell r="F417" t="str">
            <v>TJS</v>
          </cell>
          <cell r="G417">
            <v>40</v>
          </cell>
          <cell r="H417">
            <v>19300</v>
          </cell>
          <cell r="I417">
            <v>1</v>
          </cell>
          <cell r="J417" t="str">
            <v>СТК "Центрально-Азиатский банк"</v>
          </cell>
          <cell r="K417">
            <v>772000</v>
          </cell>
          <cell r="L417">
            <v>19300</v>
          </cell>
          <cell r="M417">
            <v>1</v>
          </cell>
          <cell r="N417">
            <v>772000</v>
          </cell>
        </row>
        <row r="418">
          <cell r="A418">
            <v>2003</v>
          </cell>
          <cell r="B418">
            <v>3</v>
          </cell>
          <cell r="C418">
            <v>1</v>
          </cell>
          <cell r="D418">
            <v>30</v>
          </cell>
          <cell r="E418">
            <v>1</v>
          </cell>
          <cell r="F418" t="str">
            <v>TJS</v>
          </cell>
          <cell r="G418">
            <v>36</v>
          </cell>
          <cell r="H418">
            <v>10000</v>
          </cell>
          <cell r="I418">
            <v>1</v>
          </cell>
          <cell r="J418" t="str">
            <v>СТК "Центрально-Азиатский банк"</v>
          </cell>
          <cell r="K418">
            <v>360000</v>
          </cell>
          <cell r="L418">
            <v>10000</v>
          </cell>
          <cell r="M418">
            <v>1</v>
          </cell>
          <cell r="N418">
            <v>360000</v>
          </cell>
        </row>
        <row r="419">
          <cell r="A419">
            <v>2003</v>
          </cell>
          <cell r="B419">
            <v>3</v>
          </cell>
          <cell r="C419">
            <v>1</v>
          </cell>
          <cell r="D419">
            <v>180</v>
          </cell>
          <cell r="E419">
            <v>2</v>
          </cell>
          <cell r="F419" t="str">
            <v>USD</v>
          </cell>
          <cell r="G419">
            <v>38</v>
          </cell>
          <cell r="H419">
            <v>1232</v>
          </cell>
          <cell r="I419">
            <v>1</v>
          </cell>
          <cell r="J419" t="str">
            <v>СТК "Центрально-Азиатский банк"</v>
          </cell>
          <cell r="K419">
            <v>46816</v>
          </cell>
          <cell r="L419">
            <v>1248.6157894736843</v>
          </cell>
          <cell r="M419">
            <v>1.0134868421052632</v>
          </cell>
          <cell r="N419">
            <v>47447.4</v>
          </cell>
        </row>
        <row r="420">
          <cell r="A420">
            <v>2003</v>
          </cell>
          <cell r="B420">
            <v>3</v>
          </cell>
          <cell r="C420">
            <v>1</v>
          </cell>
          <cell r="D420">
            <v>60</v>
          </cell>
          <cell r="E420">
            <v>1</v>
          </cell>
          <cell r="F420" t="str">
            <v>TJS</v>
          </cell>
          <cell r="G420">
            <v>12</v>
          </cell>
          <cell r="H420">
            <v>14442073</v>
          </cell>
          <cell r="I420">
            <v>9</v>
          </cell>
          <cell r="J420" t="str">
            <v>ТАК ПБРР "Таджпромбанк"</v>
          </cell>
          <cell r="K420">
            <v>173304876</v>
          </cell>
          <cell r="L420">
            <v>14442073</v>
          </cell>
          <cell r="M420">
            <v>1</v>
          </cell>
          <cell r="N420">
            <v>173304876</v>
          </cell>
        </row>
        <row r="421">
          <cell r="A421">
            <v>2003</v>
          </cell>
          <cell r="B421">
            <v>3</v>
          </cell>
          <cell r="C421">
            <v>1</v>
          </cell>
          <cell r="D421">
            <v>90</v>
          </cell>
          <cell r="E421">
            <v>1</v>
          </cell>
          <cell r="F421" t="str">
            <v>TJS</v>
          </cell>
          <cell r="G421">
            <v>21</v>
          </cell>
          <cell r="H421">
            <v>20000</v>
          </cell>
          <cell r="I421">
            <v>1</v>
          </cell>
          <cell r="J421" t="str">
            <v>ТАК ПБРР "Таджпромбанк"</v>
          </cell>
          <cell r="K421">
            <v>420000</v>
          </cell>
          <cell r="L421">
            <v>20000</v>
          </cell>
          <cell r="M421">
            <v>1</v>
          </cell>
          <cell r="N421">
            <v>420000</v>
          </cell>
        </row>
        <row r="422">
          <cell r="A422">
            <v>2003</v>
          </cell>
          <cell r="B422">
            <v>3</v>
          </cell>
          <cell r="C422">
            <v>1</v>
          </cell>
          <cell r="D422">
            <v>90</v>
          </cell>
          <cell r="E422">
            <v>1</v>
          </cell>
          <cell r="F422" t="str">
            <v>TJS</v>
          </cell>
          <cell r="G422">
            <v>24</v>
          </cell>
          <cell r="H422">
            <v>15000</v>
          </cell>
          <cell r="I422">
            <v>2</v>
          </cell>
          <cell r="J422" t="str">
            <v>ТАК ПБРР "Таджпромбанк"</v>
          </cell>
          <cell r="K422">
            <v>360000</v>
          </cell>
          <cell r="L422">
            <v>15000</v>
          </cell>
          <cell r="M422">
            <v>1</v>
          </cell>
          <cell r="N422">
            <v>360000</v>
          </cell>
        </row>
        <row r="423">
          <cell r="A423">
            <v>2003</v>
          </cell>
          <cell r="B423">
            <v>3</v>
          </cell>
          <cell r="C423">
            <v>1</v>
          </cell>
          <cell r="D423">
            <v>90</v>
          </cell>
          <cell r="E423">
            <v>2</v>
          </cell>
          <cell r="F423" t="str">
            <v>TJS</v>
          </cell>
          <cell r="G423">
            <v>24</v>
          </cell>
          <cell r="H423">
            <v>11000</v>
          </cell>
          <cell r="I423">
            <v>2</v>
          </cell>
          <cell r="J423" t="str">
            <v>ТАК ПБРР "Таджпромбанк"</v>
          </cell>
          <cell r="K423">
            <v>264000</v>
          </cell>
          <cell r="L423">
            <v>11000</v>
          </cell>
          <cell r="M423">
            <v>1</v>
          </cell>
          <cell r="N423">
            <v>264000</v>
          </cell>
        </row>
        <row r="424">
          <cell r="A424">
            <v>2003</v>
          </cell>
          <cell r="B424">
            <v>3</v>
          </cell>
          <cell r="C424">
            <v>5</v>
          </cell>
          <cell r="D424">
            <v>30</v>
          </cell>
          <cell r="E424">
            <v>2</v>
          </cell>
          <cell r="F424" t="str">
            <v>USD</v>
          </cell>
          <cell r="G424">
            <v>32</v>
          </cell>
          <cell r="H424">
            <v>4622</v>
          </cell>
          <cell r="I424">
            <v>1</v>
          </cell>
          <cell r="J424" t="str">
            <v>ТАК ПБРР "Таджпромбанк"</v>
          </cell>
          <cell r="K424">
            <v>147904</v>
          </cell>
          <cell r="L424">
            <v>4684.336184210527</v>
          </cell>
          <cell r="M424">
            <v>1.0134868421052632</v>
          </cell>
          <cell r="N424">
            <v>149898.75789473686</v>
          </cell>
        </row>
        <row r="425">
          <cell r="A425">
            <v>2003</v>
          </cell>
          <cell r="B425">
            <v>3</v>
          </cell>
          <cell r="C425">
            <v>1</v>
          </cell>
          <cell r="D425">
            <v>60</v>
          </cell>
          <cell r="E425">
            <v>1</v>
          </cell>
          <cell r="F425" t="str">
            <v>USD</v>
          </cell>
          <cell r="G425">
            <v>12</v>
          </cell>
          <cell r="H425">
            <v>1914010</v>
          </cell>
          <cell r="I425">
            <v>3</v>
          </cell>
          <cell r="J425" t="str">
            <v>ТАК ПБРР "Таджпромбанк"</v>
          </cell>
          <cell r="K425">
            <v>22968120</v>
          </cell>
          <cell r="L425">
            <v>1939823.9506578948</v>
          </cell>
          <cell r="M425">
            <v>1.0134868421052632</v>
          </cell>
          <cell r="N425">
            <v>23277887.407894738</v>
          </cell>
        </row>
        <row r="426">
          <cell r="A426">
            <v>2003</v>
          </cell>
          <cell r="B426">
            <v>3</v>
          </cell>
          <cell r="C426">
            <v>5</v>
          </cell>
          <cell r="D426">
            <v>353</v>
          </cell>
          <cell r="E426">
            <v>2</v>
          </cell>
          <cell r="F426" t="str">
            <v>TJS</v>
          </cell>
          <cell r="G426">
            <v>24</v>
          </cell>
          <cell r="H426">
            <v>4200</v>
          </cell>
          <cell r="I426">
            <v>1</v>
          </cell>
          <cell r="J426" t="str">
            <v>ТАК ПСБ "Ориёнбанк"</v>
          </cell>
          <cell r="K426">
            <v>100800</v>
          </cell>
          <cell r="L426">
            <v>4200</v>
          </cell>
          <cell r="M426">
            <v>1</v>
          </cell>
          <cell r="N426">
            <v>100800</v>
          </cell>
        </row>
        <row r="427">
          <cell r="A427">
            <v>2003</v>
          </cell>
          <cell r="B427">
            <v>3</v>
          </cell>
          <cell r="C427">
            <v>5</v>
          </cell>
          <cell r="D427">
            <v>33</v>
          </cell>
          <cell r="E427">
            <v>1</v>
          </cell>
          <cell r="F427" t="str">
            <v>TJS</v>
          </cell>
          <cell r="G427">
            <v>24</v>
          </cell>
          <cell r="H427">
            <v>70000</v>
          </cell>
          <cell r="I427">
            <v>1</v>
          </cell>
          <cell r="J427" t="str">
            <v>ТАК ПСБ "Ориёнбанк"</v>
          </cell>
          <cell r="K427">
            <v>1680000</v>
          </cell>
          <cell r="L427">
            <v>70000</v>
          </cell>
          <cell r="M427">
            <v>1</v>
          </cell>
          <cell r="N427">
            <v>1680000</v>
          </cell>
        </row>
        <row r="428">
          <cell r="A428">
            <v>2003</v>
          </cell>
          <cell r="B428">
            <v>3</v>
          </cell>
          <cell r="C428">
            <v>5</v>
          </cell>
          <cell r="D428">
            <v>45</v>
          </cell>
          <cell r="E428">
            <v>2</v>
          </cell>
          <cell r="F428" t="str">
            <v>TJS</v>
          </cell>
          <cell r="G428">
            <v>24</v>
          </cell>
          <cell r="H428">
            <v>160000</v>
          </cell>
          <cell r="I428">
            <v>2</v>
          </cell>
          <cell r="J428" t="str">
            <v>ТАК ПСБ "Ориёнбанк"</v>
          </cell>
          <cell r="K428">
            <v>3840000</v>
          </cell>
          <cell r="L428">
            <v>160000</v>
          </cell>
          <cell r="M428">
            <v>1</v>
          </cell>
          <cell r="N428">
            <v>3840000</v>
          </cell>
        </row>
        <row r="429">
          <cell r="A429">
            <v>2003</v>
          </cell>
          <cell r="B429">
            <v>3</v>
          </cell>
          <cell r="C429">
            <v>5</v>
          </cell>
          <cell r="D429">
            <v>260</v>
          </cell>
          <cell r="E429">
            <v>2</v>
          </cell>
          <cell r="F429" t="str">
            <v>TJS</v>
          </cell>
          <cell r="G429">
            <v>24</v>
          </cell>
          <cell r="H429">
            <v>900</v>
          </cell>
          <cell r="I429">
            <v>1</v>
          </cell>
          <cell r="J429" t="str">
            <v>ТАК ПСБ "Ориёнбанк"</v>
          </cell>
          <cell r="K429">
            <v>21600</v>
          </cell>
          <cell r="L429">
            <v>900</v>
          </cell>
          <cell r="M429">
            <v>1</v>
          </cell>
          <cell r="N429">
            <v>21600</v>
          </cell>
        </row>
        <row r="430">
          <cell r="A430">
            <v>2003</v>
          </cell>
          <cell r="B430">
            <v>3</v>
          </cell>
          <cell r="C430">
            <v>5</v>
          </cell>
          <cell r="D430">
            <v>73</v>
          </cell>
          <cell r="E430">
            <v>2</v>
          </cell>
          <cell r="F430" t="str">
            <v>TJS</v>
          </cell>
          <cell r="G430">
            <v>24</v>
          </cell>
          <cell r="H430">
            <v>20000</v>
          </cell>
          <cell r="I430">
            <v>1</v>
          </cell>
          <cell r="J430" t="str">
            <v>ТАК ПСБ "Ориёнбанк"</v>
          </cell>
          <cell r="K430">
            <v>480000</v>
          </cell>
          <cell r="L430">
            <v>20000</v>
          </cell>
          <cell r="M430">
            <v>1</v>
          </cell>
          <cell r="N430">
            <v>480000</v>
          </cell>
        </row>
        <row r="431">
          <cell r="A431">
            <v>2003</v>
          </cell>
          <cell r="B431">
            <v>3</v>
          </cell>
          <cell r="C431">
            <v>5</v>
          </cell>
          <cell r="D431">
            <v>255</v>
          </cell>
          <cell r="E431">
            <v>2</v>
          </cell>
          <cell r="F431" t="str">
            <v>TJS</v>
          </cell>
          <cell r="G431">
            <v>24</v>
          </cell>
          <cell r="H431">
            <v>35000</v>
          </cell>
          <cell r="I431">
            <v>1</v>
          </cell>
          <cell r="J431" t="str">
            <v>ТАК ПСБ "Ориёнбанк"</v>
          </cell>
          <cell r="K431">
            <v>840000</v>
          </cell>
          <cell r="L431">
            <v>35000</v>
          </cell>
          <cell r="M431">
            <v>1</v>
          </cell>
          <cell r="N431">
            <v>840000</v>
          </cell>
        </row>
        <row r="432">
          <cell r="A432">
            <v>2003</v>
          </cell>
          <cell r="B432">
            <v>3</v>
          </cell>
          <cell r="C432">
            <v>5</v>
          </cell>
          <cell r="D432">
            <v>45</v>
          </cell>
          <cell r="E432">
            <v>1</v>
          </cell>
          <cell r="F432" t="str">
            <v>TJS</v>
          </cell>
          <cell r="G432">
            <v>24</v>
          </cell>
          <cell r="H432">
            <v>50000</v>
          </cell>
          <cell r="I432">
            <v>1</v>
          </cell>
          <cell r="J432" t="str">
            <v>ТАК ПСБ "Ориёнбанк"</v>
          </cell>
          <cell r="K432">
            <v>1200000</v>
          </cell>
          <cell r="L432">
            <v>50000</v>
          </cell>
          <cell r="M432">
            <v>1</v>
          </cell>
          <cell r="N432">
            <v>1200000</v>
          </cell>
        </row>
        <row r="433">
          <cell r="A433">
            <v>2003</v>
          </cell>
          <cell r="B433">
            <v>3</v>
          </cell>
          <cell r="C433">
            <v>5</v>
          </cell>
          <cell r="D433">
            <v>61</v>
          </cell>
          <cell r="E433">
            <v>2</v>
          </cell>
          <cell r="F433" t="str">
            <v>TJS</v>
          </cell>
          <cell r="G433">
            <v>24</v>
          </cell>
          <cell r="H433">
            <v>2500</v>
          </cell>
          <cell r="I433">
            <v>1</v>
          </cell>
          <cell r="J433" t="str">
            <v>ТАК ПСБ "Ориёнбанк"</v>
          </cell>
          <cell r="K433">
            <v>60000</v>
          </cell>
          <cell r="L433">
            <v>2500</v>
          </cell>
          <cell r="M433">
            <v>1</v>
          </cell>
          <cell r="N433">
            <v>60000</v>
          </cell>
        </row>
        <row r="434">
          <cell r="A434">
            <v>2003</v>
          </cell>
          <cell r="B434">
            <v>3</v>
          </cell>
          <cell r="C434">
            <v>5</v>
          </cell>
          <cell r="D434">
            <v>45</v>
          </cell>
          <cell r="E434">
            <v>1</v>
          </cell>
          <cell r="F434" t="str">
            <v>TJS</v>
          </cell>
          <cell r="G434">
            <v>28</v>
          </cell>
          <cell r="H434">
            <v>7000</v>
          </cell>
          <cell r="I434">
            <v>1</v>
          </cell>
          <cell r="J434" t="str">
            <v>ТАК ПСБ "Ориёнбанк"</v>
          </cell>
          <cell r="K434">
            <v>196000</v>
          </cell>
          <cell r="L434">
            <v>7000</v>
          </cell>
          <cell r="M434">
            <v>1</v>
          </cell>
          <cell r="N434">
            <v>196000</v>
          </cell>
        </row>
        <row r="435">
          <cell r="A435">
            <v>2003</v>
          </cell>
          <cell r="B435">
            <v>3</v>
          </cell>
          <cell r="C435">
            <v>5</v>
          </cell>
          <cell r="D435">
            <v>360</v>
          </cell>
          <cell r="E435">
            <v>2</v>
          </cell>
          <cell r="F435" t="str">
            <v>TJS</v>
          </cell>
          <cell r="G435">
            <v>24</v>
          </cell>
          <cell r="H435">
            <v>9500</v>
          </cell>
          <cell r="I435">
            <v>1</v>
          </cell>
          <cell r="J435" t="str">
            <v>ТАК ПСБ "Ориёнбанк"</v>
          </cell>
          <cell r="K435">
            <v>228000</v>
          </cell>
          <cell r="L435">
            <v>9500</v>
          </cell>
          <cell r="M435">
            <v>1</v>
          </cell>
          <cell r="N435">
            <v>228000</v>
          </cell>
        </row>
        <row r="436">
          <cell r="A436">
            <v>2003</v>
          </cell>
          <cell r="B436">
            <v>3</v>
          </cell>
          <cell r="C436">
            <v>5</v>
          </cell>
          <cell r="D436">
            <v>240</v>
          </cell>
          <cell r="E436">
            <v>2</v>
          </cell>
          <cell r="F436" t="str">
            <v>TJS</v>
          </cell>
          <cell r="G436">
            <v>28</v>
          </cell>
          <cell r="H436">
            <v>52875</v>
          </cell>
          <cell r="I436">
            <v>2</v>
          </cell>
          <cell r="J436" t="str">
            <v>ТАК ПСБ "Ориёнбанк"</v>
          </cell>
          <cell r="K436">
            <v>1480500</v>
          </cell>
          <cell r="L436">
            <v>52875</v>
          </cell>
          <cell r="M436">
            <v>1</v>
          </cell>
          <cell r="N436">
            <v>1480500</v>
          </cell>
        </row>
        <row r="437">
          <cell r="A437">
            <v>2003</v>
          </cell>
          <cell r="B437">
            <v>3</v>
          </cell>
          <cell r="C437">
            <v>5</v>
          </cell>
          <cell r="D437">
            <v>231</v>
          </cell>
          <cell r="E437">
            <v>1</v>
          </cell>
          <cell r="F437" t="str">
            <v>TJS</v>
          </cell>
          <cell r="G437">
            <v>26</v>
          </cell>
          <cell r="H437">
            <v>100000</v>
          </cell>
          <cell r="I437">
            <v>1</v>
          </cell>
          <cell r="J437" t="str">
            <v>ТАК ПСБ "Ориёнбанк"</v>
          </cell>
          <cell r="K437">
            <v>2600000</v>
          </cell>
          <cell r="L437">
            <v>100000</v>
          </cell>
          <cell r="M437">
            <v>1</v>
          </cell>
          <cell r="N437">
            <v>2600000</v>
          </cell>
        </row>
        <row r="438">
          <cell r="A438">
            <v>2003</v>
          </cell>
          <cell r="B438">
            <v>3</v>
          </cell>
          <cell r="C438">
            <v>5</v>
          </cell>
          <cell r="D438">
            <v>255</v>
          </cell>
          <cell r="E438">
            <v>2</v>
          </cell>
          <cell r="F438" t="str">
            <v>TJS</v>
          </cell>
          <cell r="G438">
            <v>28</v>
          </cell>
          <cell r="H438">
            <v>1000</v>
          </cell>
          <cell r="I438">
            <v>1</v>
          </cell>
          <cell r="J438" t="str">
            <v>ТАК ПСБ "Ориёнбанк"</v>
          </cell>
          <cell r="K438">
            <v>28000</v>
          </cell>
          <cell r="L438">
            <v>1000</v>
          </cell>
          <cell r="M438">
            <v>1</v>
          </cell>
          <cell r="N438">
            <v>28000</v>
          </cell>
        </row>
        <row r="439">
          <cell r="A439">
            <v>2003</v>
          </cell>
          <cell r="B439">
            <v>3</v>
          </cell>
          <cell r="C439">
            <v>5</v>
          </cell>
          <cell r="D439">
            <v>35</v>
          </cell>
          <cell r="E439">
            <v>2</v>
          </cell>
          <cell r="F439" t="str">
            <v>TJS</v>
          </cell>
          <cell r="G439">
            <v>28</v>
          </cell>
          <cell r="H439">
            <v>1930</v>
          </cell>
          <cell r="I439">
            <v>1</v>
          </cell>
          <cell r="J439" t="str">
            <v>ТАК ПСБ "Ориёнбанк"</v>
          </cell>
          <cell r="K439">
            <v>54040</v>
          </cell>
          <cell r="L439">
            <v>1930</v>
          </cell>
          <cell r="M439">
            <v>1</v>
          </cell>
          <cell r="N439">
            <v>54040</v>
          </cell>
        </row>
        <row r="440">
          <cell r="A440">
            <v>2003</v>
          </cell>
          <cell r="B440">
            <v>3</v>
          </cell>
          <cell r="C440">
            <v>1</v>
          </cell>
          <cell r="D440">
            <v>277</v>
          </cell>
          <cell r="E440">
            <v>2</v>
          </cell>
          <cell r="F440" t="str">
            <v>TJS</v>
          </cell>
          <cell r="G440">
            <v>28</v>
          </cell>
          <cell r="H440">
            <v>210000</v>
          </cell>
          <cell r="I440">
            <v>2</v>
          </cell>
          <cell r="J440" t="str">
            <v>ТАК ПСБ "Ориёнбанк"</v>
          </cell>
          <cell r="K440">
            <v>5880000</v>
          </cell>
          <cell r="L440">
            <v>210000</v>
          </cell>
          <cell r="M440">
            <v>1</v>
          </cell>
          <cell r="N440">
            <v>5880000</v>
          </cell>
        </row>
        <row r="441">
          <cell r="A441">
            <v>2003</v>
          </cell>
          <cell r="B441">
            <v>3</v>
          </cell>
          <cell r="C441">
            <v>1</v>
          </cell>
          <cell r="D441">
            <v>179</v>
          </cell>
          <cell r="E441">
            <v>1</v>
          </cell>
          <cell r="F441" t="str">
            <v>TJS</v>
          </cell>
          <cell r="G441">
            <v>28</v>
          </cell>
          <cell r="H441">
            <v>273000</v>
          </cell>
          <cell r="I441">
            <v>1</v>
          </cell>
          <cell r="J441" t="str">
            <v>ТАК ПСБ "Ориёнбанк"</v>
          </cell>
          <cell r="K441">
            <v>7644000</v>
          </cell>
          <cell r="L441">
            <v>273000</v>
          </cell>
          <cell r="M441">
            <v>1</v>
          </cell>
          <cell r="N441">
            <v>7644000</v>
          </cell>
        </row>
        <row r="442">
          <cell r="A442">
            <v>2003</v>
          </cell>
          <cell r="B442">
            <v>3</v>
          </cell>
          <cell r="C442">
            <v>1</v>
          </cell>
          <cell r="D442">
            <v>274</v>
          </cell>
          <cell r="E442">
            <v>2</v>
          </cell>
          <cell r="F442" t="str">
            <v>TJS</v>
          </cell>
          <cell r="G442">
            <v>30</v>
          </cell>
          <cell r="H442">
            <v>7500</v>
          </cell>
          <cell r="I442">
            <v>1</v>
          </cell>
          <cell r="J442" t="str">
            <v>ТАК ПСБ "Ориёнбанк"</v>
          </cell>
          <cell r="K442">
            <v>225000</v>
          </cell>
          <cell r="L442">
            <v>7500</v>
          </cell>
          <cell r="M442">
            <v>1</v>
          </cell>
          <cell r="N442">
            <v>225000</v>
          </cell>
        </row>
        <row r="443">
          <cell r="A443">
            <v>2003</v>
          </cell>
          <cell r="B443">
            <v>3</v>
          </cell>
          <cell r="C443">
            <v>1</v>
          </cell>
          <cell r="D443">
            <v>279</v>
          </cell>
          <cell r="E443">
            <v>2</v>
          </cell>
          <cell r="F443" t="str">
            <v>TJS</v>
          </cell>
          <cell r="G443">
            <v>30</v>
          </cell>
          <cell r="H443">
            <v>10000</v>
          </cell>
          <cell r="I443">
            <v>1</v>
          </cell>
          <cell r="J443" t="str">
            <v>ТАК ПСБ "Ориёнбанк"</v>
          </cell>
          <cell r="K443">
            <v>300000</v>
          </cell>
          <cell r="L443">
            <v>10000</v>
          </cell>
          <cell r="M443">
            <v>1</v>
          </cell>
          <cell r="N443">
            <v>300000</v>
          </cell>
        </row>
        <row r="444">
          <cell r="A444">
            <v>2003</v>
          </cell>
          <cell r="B444">
            <v>3</v>
          </cell>
          <cell r="C444">
            <v>5</v>
          </cell>
          <cell r="D444">
            <v>16</v>
          </cell>
          <cell r="E444">
            <v>1</v>
          </cell>
          <cell r="F444" t="str">
            <v>TJS</v>
          </cell>
          <cell r="G444">
            <v>25</v>
          </cell>
          <cell r="H444">
            <v>29389</v>
          </cell>
          <cell r="I444">
            <v>1</v>
          </cell>
          <cell r="J444" t="str">
            <v>ТАК ПСБ "Ориёнбанк"</v>
          </cell>
          <cell r="K444">
            <v>734725</v>
          </cell>
          <cell r="L444">
            <v>29389</v>
          </cell>
          <cell r="M444">
            <v>1</v>
          </cell>
          <cell r="N444">
            <v>734725</v>
          </cell>
        </row>
        <row r="445">
          <cell r="A445">
            <v>2003</v>
          </cell>
          <cell r="B445">
            <v>3</v>
          </cell>
          <cell r="C445">
            <v>5</v>
          </cell>
          <cell r="D445">
            <v>7</v>
          </cell>
          <cell r="E445">
            <v>1</v>
          </cell>
          <cell r="F445" t="str">
            <v>TJS</v>
          </cell>
          <cell r="G445">
            <v>28</v>
          </cell>
          <cell r="H445">
            <v>199928</v>
          </cell>
          <cell r="I445">
            <v>1</v>
          </cell>
          <cell r="J445" t="str">
            <v>ТАК ПСБ "Ориёнбанк"</v>
          </cell>
          <cell r="K445">
            <v>5597984</v>
          </cell>
          <cell r="L445">
            <v>199928</v>
          </cell>
          <cell r="M445">
            <v>1</v>
          </cell>
          <cell r="N445">
            <v>5597984</v>
          </cell>
        </row>
        <row r="446">
          <cell r="A446">
            <v>2003</v>
          </cell>
          <cell r="B446">
            <v>3</v>
          </cell>
          <cell r="C446">
            <v>5</v>
          </cell>
          <cell r="D446">
            <v>249</v>
          </cell>
          <cell r="E446">
            <v>2</v>
          </cell>
          <cell r="F446" t="str">
            <v>TJS</v>
          </cell>
          <cell r="G446">
            <v>28</v>
          </cell>
          <cell r="H446">
            <v>1000</v>
          </cell>
          <cell r="I446">
            <v>1</v>
          </cell>
          <cell r="J446" t="str">
            <v>ТАК ПСБ "Ориёнбанк"</v>
          </cell>
          <cell r="K446">
            <v>28000</v>
          </cell>
          <cell r="L446">
            <v>1000</v>
          </cell>
          <cell r="M446">
            <v>1</v>
          </cell>
          <cell r="N446">
            <v>28000</v>
          </cell>
        </row>
        <row r="447">
          <cell r="A447">
            <v>2003</v>
          </cell>
          <cell r="B447">
            <v>3</v>
          </cell>
          <cell r="C447">
            <v>5</v>
          </cell>
          <cell r="D447">
            <v>208</v>
          </cell>
          <cell r="E447">
            <v>1</v>
          </cell>
          <cell r="F447" t="str">
            <v>TJS</v>
          </cell>
          <cell r="G447">
            <v>26</v>
          </cell>
          <cell r="H447">
            <v>65000</v>
          </cell>
          <cell r="I447">
            <v>1</v>
          </cell>
          <cell r="J447" t="str">
            <v>ТАК ПСБ "Ориёнбанк"</v>
          </cell>
          <cell r="K447">
            <v>1690000</v>
          </cell>
          <cell r="L447">
            <v>65000</v>
          </cell>
          <cell r="M447">
            <v>1</v>
          </cell>
          <cell r="N447">
            <v>1690000</v>
          </cell>
        </row>
        <row r="448">
          <cell r="A448">
            <v>2003</v>
          </cell>
          <cell r="B448">
            <v>3</v>
          </cell>
          <cell r="C448">
            <v>5</v>
          </cell>
          <cell r="D448">
            <v>120</v>
          </cell>
          <cell r="E448">
            <v>2</v>
          </cell>
          <cell r="F448" t="str">
            <v>TJS</v>
          </cell>
          <cell r="G448">
            <v>24</v>
          </cell>
          <cell r="H448">
            <v>160000</v>
          </cell>
          <cell r="I448">
            <v>1</v>
          </cell>
          <cell r="J448" t="str">
            <v>ТАК ПСБ "Ориёнбанк"</v>
          </cell>
          <cell r="K448">
            <v>3840000</v>
          </cell>
          <cell r="L448">
            <v>160000</v>
          </cell>
          <cell r="M448">
            <v>1</v>
          </cell>
          <cell r="N448">
            <v>3840000</v>
          </cell>
        </row>
        <row r="449">
          <cell r="A449">
            <v>2003</v>
          </cell>
          <cell r="B449">
            <v>3</v>
          </cell>
          <cell r="C449">
            <v>5</v>
          </cell>
          <cell r="D449">
            <v>30</v>
          </cell>
          <cell r="E449">
            <v>2</v>
          </cell>
          <cell r="F449" t="str">
            <v>TJS</v>
          </cell>
          <cell r="G449">
            <v>28</v>
          </cell>
          <cell r="H449">
            <v>15609</v>
          </cell>
          <cell r="I449">
            <v>2</v>
          </cell>
          <cell r="J449" t="str">
            <v>ТАК ПСБ "Ориёнбанк"</v>
          </cell>
          <cell r="K449">
            <v>437052</v>
          </cell>
          <cell r="L449">
            <v>15609</v>
          </cell>
          <cell r="M449">
            <v>1</v>
          </cell>
          <cell r="N449">
            <v>437052</v>
          </cell>
        </row>
        <row r="450">
          <cell r="A450">
            <v>2003</v>
          </cell>
          <cell r="B450">
            <v>3</v>
          </cell>
          <cell r="C450">
            <v>5</v>
          </cell>
          <cell r="D450">
            <v>90</v>
          </cell>
          <cell r="E450">
            <v>1</v>
          </cell>
          <cell r="F450" t="str">
            <v>TJS</v>
          </cell>
          <cell r="G450">
            <v>28</v>
          </cell>
          <cell r="H450">
            <v>84400</v>
          </cell>
          <cell r="I450">
            <v>1</v>
          </cell>
          <cell r="J450" t="str">
            <v>ТАК ПСБ "Ориёнбанк"</v>
          </cell>
          <cell r="K450">
            <v>2363200</v>
          </cell>
          <cell r="L450">
            <v>84400</v>
          </cell>
          <cell r="M450">
            <v>1</v>
          </cell>
          <cell r="N450">
            <v>2363200</v>
          </cell>
        </row>
        <row r="451">
          <cell r="A451">
            <v>2003</v>
          </cell>
          <cell r="B451">
            <v>3</v>
          </cell>
          <cell r="C451">
            <v>5</v>
          </cell>
          <cell r="D451">
            <v>32</v>
          </cell>
          <cell r="E451">
            <v>2</v>
          </cell>
          <cell r="F451" t="str">
            <v>TJS</v>
          </cell>
          <cell r="G451">
            <v>28</v>
          </cell>
          <cell r="H451">
            <v>3987</v>
          </cell>
          <cell r="I451">
            <v>1</v>
          </cell>
          <cell r="J451" t="str">
            <v>ТАК ПСБ "Ориёнбанк"</v>
          </cell>
          <cell r="K451">
            <v>111636</v>
          </cell>
          <cell r="L451">
            <v>3987</v>
          </cell>
          <cell r="M451">
            <v>1</v>
          </cell>
          <cell r="N451">
            <v>111636</v>
          </cell>
        </row>
        <row r="452">
          <cell r="A452">
            <v>2003</v>
          </cell>
          <cell r="B452">
            <v>3</v>
          </cell>
          <cell r="C452">
            <v>1</v>
          </cell>
          <cell r="D452">
            <v>270</v>
          </cell>
          <cell r="E452">
            <v>2</v>
          </cell>
          <cell r="F452" t="str">
            <v>TJS</v>
          </cell>
          <cell r="G452">
            <v>28</v>
          </cell>
          <cell r="H452">
            <v>5000</v>
          </cell>
          <cell r="I452">
            <v>1</v>
          </cell>
          <cell r="J452" t="str">
            <v>ТАК ПСБ "Ориёнбанк"</v>
          </cell>
          <cell r="K452">
            <v>140000</v>
          </cell>
          <cell r="L452">
            <v>5000</v>
          </cell>
          <cell r="M452">
            <v>1</v>
          </cell>
          <cell r="N452">
            <v>140000</v>
          </cell>
        </row>
        <row r="453">
          <cell r="A453">
            <v>2003</v>
          </cell>
          <cell r="B453">
            <v>3</v>
          </cell>
          <cell r="C453">
            <v>1</v>
          </cell>
          <cell r="D453">
            <v>10</v>
          </cell>
          <cell r="E453">
            <v>1</v>
          </cell>
          <cell r="F453" t="str">
            <v>TJS</v>
          </cell>
          <cell r="G453">
            <v>28</v>
          </cell>
          <cell r="H453">
            <v>50000</v>
          </cell>
          <cell r="I453">
            <v>1</v>
          </cell>
          <cell r="J453" t="str">
            <v>ТАК ПСБ "Ориёнбанк"</v>
          </cell>
          <cell r="K453">
            <v>1400000</v>
          </cell>
          <cell r="L453">
            <v>50000</v>
          </cell>
          <cell r="M453">
            <v>1</v>
          </cell>
          <cell r="N453">
            <v>1400000</v>
          </cell>
        </row>
        <row r="454">
          <cell r="A454">
            <v>2003</v>
          </cell>
          <cell r="B454">
            <v>3</v>
          </cell>
          <cell r="C454">
            <v>1</v>
          </cell>
          <cell r="D454">
            <v>14</v>
          </cell>
          <cell r="E454">
            <v>1</v>
          </cell>
          <cell r="F454" t="str">
            <v>TJS</v>
          </cell>
          <cell r="G454">
            <v>28</v>
          </cell>
          <cell r="H454">
            <v>50000</v>
          </cell>
          <cell r="I454">
            <v>1</v>
          </cell>
          <cell r="J454" t="str">
            <v>ТАК ПСБ "Ориёнбанк"</v>
          </cell>
          <cell r="K454">
            <v>1400000</v>
          </cell>
          <cell r="L454">
            <v>50000</v>
          </cell>
          <cell r="M454">
            <v>1</v>
          </cell>
          <cell r="N454">
            <v>1400000</v>
          </cell>
        </row>
        <row r="455">
          <cell r="A455">
            <v>2003</v>
          </cell>
          <cell r="B455">
            <v>3</v>
          </cell>
          <cell r="C455">
            <v>5</v>
          </cell>
          <cell r="D455">
            <v>65</v>
          </cell>
          <cell r="E455">
            <v>1</v>
          </cell>
          <cell r="F455" t="str">
            <v>TJS</v>
          </cell>
          <cell r="G455">
            <v>29</v>
          </cell>
          <cell r="H455">
            <v>50000</v>
          </cell>
          <cell r="I455">
            <v>1</v>
          </cell>
          <cell r="J455" t="str">
            <v>ТАК ПСБ "Ориёнбанк"</v>
          </cell>
          <cell r="K455">
            <v>1450000</v>
          </cell>
          <cell r="L455">
            <v>50000</v>
          </cell>
          <cell r="M455">
            <v>1</v>
          </cell>
          <cell r="N455">
            <v>1450000</v>
          </cell>
        </row>
        <row r="456">
          <cell r="A456">
            <v>2003</v>
          </cell>
          <cell r="B456">
            <v>3</v>
          </cell>
          <cell r="C456">
            <v>5</v>
          </cell>
          <cell r="D456">
            <v>168</v>
          </cell>
          <cell r="E456">
            <v>2</v>
          </cell>
          <cell r="F456" t="str">
            <v>TJS</v>
          </cell>
          <cell r="G456">
            <v>24</v>
          </cell>
          <cell r="H456">
            <v>30000</v>
          </cell>
          <cell r="I456">
            <v>1</v>
          </cell>
          <cell r="J456" t="str">
            <v>ТАК ПСБ "Ориёнбанк"</v>
          </cell>
          <cell r="K456">
            <v>720000</v>
          </cell>
          <cell r="L456">
            <v>30000</v>
          </cell>
          <cell r="M456">
            <v>1</v>
          </cell>
          <cell r="N456">
            <v>720000</v>
          </cell>
        </row>
        <row r="457">
          <cell r="A457">
            <v>2003</v>
          </cell>
          <cell r="B457">
            <v>3</v>
          </cell>
          <cell r="C457">
            <v>1</v>
          </cell>
          <cell r="D457">
            <v>360</v>
          </cell>
          <cell r="E457">
            <v>2</v>
          </cell>
          <cell r="F457" t="str">
            <v>TJS</v>
          </cell>
          <cell r="G457">
            <v>36</v>
          </cell>
          <cell r="H457">
            <v>27500</v>
          </cell>
          <cell r="I457">
            <v>4</v>
          </cell>
          <cell r="J457" t="str">
            <v>ТАК ПСБ "Ориёнбанк"</v>
          </cell>
          <cell r="K457">
            <v>990000</v>
          </cell>
          <cell r="L457">
            <v>27500</v>
          </cell>
          <cell r="M457">
            <v>1</v>
          </cell>
          <cell r="N457">
            <v>990000</v>
          </cell>
        </row>
        <row r="458">
          <cell r="A458">
            <v>2003</v>
          </cell>
          <cell r="B458">
            <v>3</v>
          </cell>
          <cell r="C458">
            <v>5</v>
          </cell>
          <cell r="D458">
            <v>9</v>
          </cell>
          <cell r="E458">
            <v>2</v>
          </cell>
          <cell r="F458" t="str">
            <v>TJS</v>
          </cell>
          <cell r="G458">
            <v>35</v>
          </cell>
          <cell r="H458">
            <v>15470</v>
          </cell>
          <cell r="I458">
            <v>1</v>
          </cell>
          <cell r="J458" t="str">
            <v>ТАК ПСБ "Ориёнбанк"</v>
          </cell>
          <cell r="K458">
            <v>541450</v>
          </cell>
          <cell r="L458">
            <v>15470</v>
          </cell>
          <cell r="M458">
            <v>1</v>
          </cell>
          <cell r="N458">
            <v>541450</v>
          </cell>
        </row>
        <row r="459">
          <cell r="A459">
            <v>2003</v>
          </cell>
          <cell r="B459">
            <v>3</v>
          </cell>
          <cell r="C459">
            <v>1</v>
          </cell>
          <cell r="D459">
            <v>359</v>
          </cell>
          <cell r="E459">
            <v>1</v>
          </cell>
          <cell r="F459" t="str">
            <v>TJS</v>
          </cell>
          <cell r="G459">
            <v>30</v>
          </cell>
          <cell r="H459">
            <v>85000</v>
          </cell>
          <cell r="I459">
            <v>2</v>
          </cell>
          <cell r="J459" t="str">
            <v>ТАК ПСБ "Ориёнбанк"</v>
          </cell>
          <cell r="K459">
            <v>2550000</v>
          </cell>
          <cell r="L459">
            <v>85000</v>
          </cell>
          <cell r="M459">
            <v>1</v>
          </cell>
          <cell r="N459">
            <v>2550000</v>
          </cell>
        </row>
        <row r="460">
          <cell r="A460">
            <v>2003</v>
          </cell>
          <cell r="B460">
            <v>3</v>
          </cell>
          <cell r="C460">
            <v>1</v>
          </cell>
          <cell r="D460">
            <v>180</v>
          </cell>
          <cell r="E460">
            <v>1</v>
          </cell>
          <cell r="F460" t="str">
            <v>TJS</v>
          </cell>
          <cell r="G460">
            <v>36</v>
          </cell>
          <cell r="H460">
            <v>10100</v>
          </cell>
          <cell r="I460">
            <v>5</v>
          </cell>
          <cell r="J460" t="str">
            <v>ТАК ПСБ "Ориёнбанк"</v>
          </cell>
          <cell r="K460">
            <v>363600</v>
          </cell>
          <cell r="L460">
            <v>10100</v>
          </cell>
          <cell r="M460">
            <v>1</v>
          </cell>
          <cell r="N460">
            <v>363600</v>
          </cell>
        </row>
        <row r="461">
          <cell r="A461">
            <v>2003</v>
          </cell>
          <cell r="B461">
            <v>3</v>
          </cell>
          <cell r="C461">
            <v>1</v>
          </cell>
          <cell r="D461">
            <v>180</v>
          </cell>
          <cell r="E461">
            <v>2</v>
          </cell>
          <cell r="F461" t="str">
            <v>TJS</v>
          </cell>
          <cell r="G461">
            <v>36</v>
          </cell>
          <cell r="H461">
            <v>8000</v>
          </cell>
          <cell r="I461">
            <v>4</v>
          </cell>
          <cell r="J461" t="str">
            <v>ТАК ПСБ "Ориёнбанк"</v>
          </cell>
          <cell r="K461">
            <v>288000</v>
          </cell>
          <cell r="L461">
            <v>8000</v>
          </cell>
          <cell r="M461">
            <v>1</v>
          </cell>
          <cell r="N461">
            <v>288000</v>
          </cell>
        </row>
        <row r="462">
          <cell r="A462">
            <v>2003</v>
          </cell>
          <cell r="B462">
            <v>3</v>
          </cell>
          <cell r="C462">
            <v>1</v>
          </cell>
          <cell r="D462">
            <v>139</v>
          </cell>
          <cell r="E462">
            <v>2</v>
          </cell>
          <cell r="F462" t="str">
            <v>TJS</v>
          </cell>
          <cell r="G462">
            <v>36</v>
          </cell>
          <cell r="H462">
            <v>2500</v>
          </cell>
          <cell r="I462">
            <v>1</v>
          </cell>
          <cell r="J462" t="str">
            <v>ТАК ПСБ "Ориёнбанк"</v>
          </cell>
          <cell r="K462">
            <v>90000</v>
          </cell>
          <cell r="L462">
            <v>2500</v>
          </cell>
          <cell r="M462">
            <v>1</v>
          </cell>
          <cell r="N462">
            <v>90000</v>
          </cell>
        </row>
        <row r="463">
          <cell r="A463">
            <v>2003</v>
          </cell>
          <cell r="B463">
            <v>3</v>
          </cell>
          <cell r="C463">
            <v>1</v>
          </cell>
          <cell r="D463">
            <v>180</v>
          </cell>
          <cell r="E463">
            <v>2</v>
          </cell>
          <cell r="F463" t="str">
            <v>TJS</v>
          </cell>
          <cell r="G463">
            <v>28</v>
          </cell>
          <cell r="H463">
            <v>36600</v>
          </cell>
          <cell r="I463">
            <v>3</v>
          </cell>
          <cell r="J463" t="str">
            <v>ТАК ПСБ "Ориёнбанк"</v>
          </cell>
          <cell r="K463">
            <v>1024800</v>
          </cell>
          <cell r="L463">
            <v>36600</v>
          </cell>
          <cell r="M463">
            <v>1</v>
          </cell>
          <cell r="N463">
            <v>1024800</v>
          </cell>
        </row>
        <row r="464">
          <cell r="A464">
            <v>2003</v>
          </cell>
          <cell r="B464">
            <v>3</v>
          </cell>
          <cell r="C464">
            <v>1</v>
          </cell>
          <cell r="D464">
            <v>217</v>
          </cell>
          <cell r="E464">
            <v>2</v>
          </cell>
          <cell r="F464" t="str">
            <v>TJS</v>
          </cell>
          <cell r="G464">
            <v>30</v>
          </cell>
          <cell r="H464">
            <v>2500</v>
          </cell>
          <cell r="I464">
            <v>1</v>
          </cell>
          <cell r="J464" t="str">
            <v>ТАК ПСБ "Ориёнбанк"</v>
          </cell>
          <cell r="K464">
            <v>75000</v>
          </cell>
          <cell r="L464">
            <v>2500</v>
          </cell>
          <cell r="M464">
            <v>1</v>
          </cell>
          <cell r="N464">
            <v>75000</v>
          </cell>
        </row>
        <row r="465">
          <cell r="A465">
            <v>2003</v>
          </cell>
          <cell r="B465">
            <v>3</v>
          </cell>
          <cell r="C465">
            <v>1</v>
          </cell>
          <cell r="D465">
            <v>346</v>
          </cell>
          <cell r="E465">
            <v>2</v>
          </cell>
          <cell r="F465" t="str">
            <v>TJS</v>
          </cell>
          <cell r="G465">
            <v>36</v>
          </cell>
          <cell r="H465">
            <v>2000</v>
          </cell>
          <cell r="I465">
            <v>1</v>
          </cell>
          <cell r="J465" t="str">
            <v>ТАК ПСБ "Ориёнбанк"</v>
          </cell>
          <cell r="K465">
            <v>72000</v>
          </cell>
          <cell r="L465">
            <v>2000</v>
          </cell>
          <cell r="M465">
            <v>1</v>
          </cell>
          <cell r="N465">
            <v>72000</v>
          </cell>
        </row>
        <row r="466">
          <cell r="A466">
            <v>2003</v>
          </cell>
          <cell r="B466">
            <v>3</v>
          </cell>
          <cell r="C466">
            <v>1</v>
          </cell>
          <cell r="D466">
            <v>347</v>
          </cell>
          <cell r="E466">
            <v>1</v>
          </cell>
          <cell r="F466" t="str">
            <v>TJS</v>
          </cell>
          <cell r="G466">
            <v>36</v>
          </cell>
          <cell r="H466">
            <v>500</v>
          </cell>
          <cell r="I466">
            <v>1</v>
          </cell>
          <cell r="J466" t="str">
            <v>ТАК ПСБ "Ориёнбанк"</v>
          </cell>
          <cell r="K466">
            <v>18000</v>
          </cell>
          <cell r="L466">
            <v>500</v>
          </cell>
          <cell r="M466">
            <v>1</v>
          </cell>
          <cell r="N466">
            <v>18000</v>
          </cell>
        </row>
        <row r="467">
          <cell r="A467">
            <v>2003</v>
          </cell>
          <cell r="B467">
            <v>3</v>
          </cell>
          <cell r="C467">
            <v>1</v>
          </cell>
          <cell r="D467">
            <v>198</v>
          </cell>
          <cell r="E467">
            <v>2</v>
          </cell>
          <cell r="F467" t="str">
            <v>TJS</v>
          </cell>
          <cell r="G467">
            <v>40</v>
          </cell>
          <cell r="H467">
            <v>7500</v>
          </cell>
          <cell r="I467">
            <v>3</v>
          </cell>
          <cell r="J467" t="str">
            <v>ТАК ПСБ "Ориёнбанк"</v>
          </cell>
          <cell r="K467">
            <v>300000</v>
          </cell>
          <cell r="L467">
            <v>7500</v>
          </cell>
          <cell r="M467">
            <v>1</v>
          </cell>
          <cell r="N467">
            <v>300000</v>
          </cell>
        </row>
        <row r="468">
          <cell r="A468">
            <v>2003</v>
          </cell>
          <cell r="B468">
            <v>3</v>
          </cell>
          <cell r="C468">
            <v>1</v>
          </cell>
          <cell r="D468">
            <v>240</v>
          </cell>
          <cell r="E468">
            <v>2</v>
          </cell>
          <cell r="F468" t="str">
            <v>TJS</v>
          </cell>
          <cell r="G468">
            <v>30</v>
          </cell>
          <cell r="H468">
            <v>1500</v>
          </cell>
          <cell r="I468">
            <v>1</v>
          </cell>
          <cell r="J468" t="str">
            <v>ТАК ПСБ "Ориёнбанк"</v>
          </cell>
          <cell r="K468">
            <v>45000</v>
          </cell>
          <cell r="L468">
            <v>1500</v>
          </cell>
          <cell r="M468">
            <v>1</v>
          </cell>
          <cell r="N468">
            <v>45000</v>
          </cell>
        </row>
        <row r="469">
          <cell r="A469">
            <v>2003</v>
          </cell>
          <cell r="B469">
            <v>3</v>
          </cell>
          <cell r="C469">
            <v>1</v>
          </cell>
          <cell r="D469">
            <v>230</v>
          </cell>
          <cell r="E469">
            <v>2</v>
          </cell>
          <cell r="F469" t="str">
            <v>TJS</v>
          </cell>
          <cell r="G469">
            <v>36</v>
          </cell>
          <cell r="H469">
            <v>2500</v>
          </cell>
          <cell r="I469">
            <v>1</v>
          </cell>
          <cell r="J469" t="str">
            <v>ТАК ПСБ "Ориёнбанк"</v>
          </cell>
          <cell r="K469">
            <v>90000</v>
          </cell>
          <cell r="L469">
            <v>2500</v>
          </cell>
          <cell r="M469">
            <v>1</v>
          </cell>
          <cell r="N469">
            <v>90000</v>
          </cell>
        </row>
        <row r="470">
          <cell r="A470">
            <v>2003</v>
          </cell>
          <cell r="B470">
            <v>3</v>
          </cell>
          <cell r="C470">
            <v>1</v>
          </cell>
          <cell r="D470">
            <v>239</v>
          </cell>
          <cell r="E470">
            <v>2</v>
          </cell>
          <cell r="F470" t="str">
            <v>TJS</v>
          </cell>
          <cell r="G470">
            <v>38</v>
          </cell>
          <cell r="H470">
            <v>900</v>
          </cell>
          <cell r="I470">
            <v>1</v>
          </cell>
          <cell r="J470" t="str">
            <v>ТАК ПСБ "Ориёнбанк"</v>
          </cell>
          <cell r="K470">
            <v>34200</v>
          </cell>
          <cell r="L470">
            <v>900</v>
          </cell>
          <cell r="M470">
            <v>1</v>
          </cell>
          <cell r="N470">
            <v>34200</v>
          </cell>
        </row>
        <row r="471">
          <cell r="A471">
            <v>2003</v>
          </cell>
          <cell r="B471">
            <v>3</v>
          </cell>
          <cell r="C471">
            <v>1</v>
          </cell>
          <cell r="D471">
            <v>360</v>
          </cell>
          <cell r="E471">
            <v>1</v>
          </cell>
          <cell r="F471" t="str">
            <v>TJS</v>
          </cell>
          <cell r="G471">
            <v>28</v>
          </cell>
          <cell r="H471">
            <v>252500</v>
          </cell>
          <cell r="I471">
            <v>2</v>
          </cell>
          <cell r="J471" t="str">
            <v>ТАК ПСБ "Ориёнбанк"</v>
          </cell>
          <cell r="K471">
            <v>7070000</v>
          </cell>
          <cell r="L471">
            <v>252500</v>
          </cell>
          <cell r="M471">
            <v>1</v>
          </cell>
          <cell r="N471">
            <v>7070000</v>
          </cell>
        </row>
        <row r="472">
          <cell r="A472">
            <v>2003</v>
          </cell>
          <cell r="B472">
            <v>3</v>
          </cell>
          <cell r="C472">
            <v>1</v>
          </cell>
          <cell r="D472">
            <v>236</v>
          </cell>
          <cell r="E472">
            <v>1</v>
          </cell>
          <cell r="F472" t="str">
            <v>TJS</v>
          </cell>
          <cell r="G472">
            <v>36</v>
          </cell>
          <cell r="H472">
            <v>2500</v>
          </cell>
          <cell r="I472">
            <v>1</v>
          </cell>
          <cell r="J472" t="str">
            <v>ТАК ПСБ "Ориёнбанк"</v>
          </cell>
          <cell r="K472">
            <v>90000</v>
          </cell>
          <cell r="L472">
            <v>2500</v>
          </cell>
          <cell r="M472">
            <v>1</v>
          </cell>
          <cell r="N472">
            <v>90000</v>
          </cell>
        </row>
        <row r="473">
          <cell r="A473">
            <v>2003</v>
          </cell>
          <cell r="B473">
            <v>3</v>
          </cell>
          <cell r="C473">
            <v>1</v>
          </cell>
          <cell r="D473">
            <v>117</v>
          </cell>
          <cell r="E473">
            <v>1</v>
          </cell>
          <cell r="F473" t="str">
            <v>TJS</v>
          </cell>
          <cell r="G473">
            <v>36</v>
          </cell>
          <cell r="H473">
            <v>1300</v>
          </cell>
          <cell r="I473">
            <v>1</v>
          </cell>
          <cell r="J473" t="str">
            <v>ТАК ПСБ "Ориёнбанк"</v>
          </cell>
          <cell r="K473">
            <v>46800</v>
          </cell>
          <cell r="L473">
            <v>1300</v>
          </cell>
          <cell r="M473">
            <v>1</v>
          </cell>
          <cell r="N473">
            <v>46800</v>
          </cell>
        </row>
        <row r="474">
          <cell r="A474">
            <v>2003</v>
          </cell>
          <cell r="B474">
            <v>3</v>
          </cell>
          <cell r="C474">
            <v>1</v>
          </cell>
          <cell r="D474">
            <v>220</v>
          </cell>
          <cell r="E474">
            <v>2</v>
          </cell>
          <cell r="F474" t="str">
            <v>TJS</v>
          </cell>
          <cell r="G474">
            <v>28</v>
          </cell>
          <cell r="H474">
            <v>24500</v>
          </cell>
          <cell r="I474">
            <v>1</v>
          </cell>
          <cell r="J474" t="str">
            <v>ТАК ПСБ "Ориёнбанк"</v>
          </cell>
          <cell r="K474">
            <v>686000</v>
          </cell>
          <cell r="L474">
            <v>24500</v>
          </cell>
          <cell r="M474">
            <v>1</v>
          </cell>
          <cell r="N474">
            <v>686000</v>
          </cell>
        </row>
        <row r="475">
          <cell r="A475">
            <v>2003</v>
          </cell>
          <cell r="B475">
            <v>3</v>
          </cell>
          <cell r="C475">
            <v>1</v>
          </cell>
          <cell r="D475">
            <v>360</v>
          </cell>
          <cell r="E475">
            <v>2</v>
          </cell>
          <cell r="F475" t="str">
            <v>TJS</v>
          </cell>
          <cell r="G475">
            <v>28</v>
          </cell>
          <cell r="H475">
            <v>28200</v>
          </cell>
          <cell r="I475">
            <v>4</v>
          </cell>
          <cell r="J475" t="str">
            <v>ТАК ПСБ "Ориёнбанк"</v>
          </cell>
          <cell r="K475">
            <v>789600</v>
          </cell>
          <cell r="L475">
            <v>28200</v>
          </cell>
          <cell r="M475">
            <v>1</v>
          </cell>
          <cell r="N475">
            <v>789600</v>
          </cell>
        </row>
        <row r="476">
          <cell r="A476">
            <v>2003</v>
          </cell>
          <cell r="B476">
            <v>3</v>
          </cell>
          <cell r="C476">
            <v>1</v>
          </cell>
          <cell r="D476">
            <v>360</v>
          </cell>
          <cell r="E476">
            <v>2</v>
          </cell>
          <cell r="F476" t="str">
            <v>TJS</v>
          </cell>
          <cell r="G476">
            <v>30</v>
          </cell>
          <cell r="H476">
            <v>5000</v>
          </cell>
          <cell r="I476">
            <v>1</v>
          </cell>
          <cell r="J476" t="str">
            <v>ТАК ПСБ "Ориёнбанк"</v>
          </cell>
          <cell r="K476">
            <v>150000</v>
          </cell>
          <cell r="L476">
            <v>5000</v>
          </cell>
          <cell r="M476">
            <v>1</v>
          </cell>
          <cell r="N476">
            <v>150000</v>
          </cell>
        </row>
        <row r="477">
          <cell r="A477">
            <v>2003</v>
          </cell>
          <cell r="B477">
            <v>3</v>
          </cell>
          <cell r="C477">
            <v>1</v>
          </cell>
          <cell r="D477">
            <v>90</v>
          </cell>
          <cell r="E477">
            <v>1</v>
          </cell>
          <cell r="F477" t="str">
            <v>TJS</v>
          </cell>
          <cell r="G477">
            <v>28</v>
          </cell>
          <cell r="H477">
            <v>2500</v>
          </cell>
          <cell r="I477">
            <v>1</v>
          </cell>
          <cell r="J477" t="str">
            <v>ТАК ПСБ "Ориёнбанк"</v>
          </cell>
          <cell r="K477">
            <v>70000</v>
          </cell>
          <cell r="L477">
            <v>2500</v>
          </cell>
          <cell r="M477">
            <v>1</v>
          </cell>
          <cell r="N477">
            <v>70000</v>
          </cell>
        </row>
        <row r="478">
          <cell r="A478">
            <v>2003</v>
          </cell>
          <cell r="B478">
            <v>3</v>
          </cell>
          <cell r="C478">
            <v>1</v>
          </cell>
          <cell r="D478">
            <v>180</v>
          </cell>
          <cell r="E478">
            <v>2</v>
          </cell>
          <cell r="F478" t="str">
            <v>TJS</v>
          </cell>
          <cell r="G478">
            <v>48</v>
          </cell>
          <cell r="H478">
            <v>2000</v>
          </cell>
          <cell r="I478">
            <v>1</v>
          </cell>
          <cell r="J478" t="str">
            <v>ТАК ПСБ "Ориёнбанк"</v>
          </cell>
          <cell r="K478">
            <v>96000</v>
          </cell>
          <cell r="L478">
            <v>2000</v>
          </cell>
          <cell r="M478">
            <v>1</v>
          </cell>
          <cell r="N478">
            <v>96000</v>
          </cell>
        </row>
        <row r="479">
          <cell r="A479">
            <v>2003</v>
          </cell>
          <cell r="B479">
            <v>3</v>
          </cell>
          <cell r="C479">
            <v>1</v>
          </cell>
          <cell r="D479">
            <v>119</v>
          </cell>
          <cell r="E479">
            <v>2</v>
          </cell>
          <cell r="F479" t="str">
            <v>TJS</v>
          </cell>
          <cell r="G479">
            <v>42</v>
          </cell>
          <cell r="H479">
            <v>500</v>
          </cell>
          <cell r="I479">
            <v>1</v>
          </cell>
          <cell r="J479" t="str">
            <v>ТАК ПСБ "Ориёнбанк"</v>
          </cell>
          <cell r="K479">
            <v>21000</v>
          </cell>
          <cell r="L479">
            <v>500</v>
          </cell>
          <cell r="M479">
            <v>1</v>
          </cell>
          <cell r="N479">
            <v>21000</v>
          </cell>
        </row>
        <row r="480">
          <cell r="A480">
            <v>2003</v>
          </cell>
          <cell r="B480">
            <v>3</v>
          </cell>
          <cell r="C480">
            <v>5</v>
          </cell>
          <cell r="D480">
            <v>30</v>
          </cell>
          <cell r="E480">
            <v>1</v>
          </cell>
          <cell r="F480" t="str">
            <v>TJS</v>
          </cell>
          <cell r="G480">
            <v>31</v>
          </cell>
          <cell r="H480">
            <v>5000</v>
          </cell>
          <cell r="I480">
            <v>1</v>
          </cell>
          <cell r="J480" t="str">
            <v>ТАК ПСБ "Ориёнбанк"</v>
          </cell>
          <cell r="K480">
            <v>155000</v>
          </cell>
          <cell r="L480">
            <v>5000</v>
          </cell>
          <cell r="M480">
            <v>1</v>
          </cell>
          <cell r="N480">
            <v>155000</v>
          </cell>
        </row>
        <row r="481">
          <cell r="A481">
            <v>2003</v>
          </cell>
          <cell r="B481">
            <v>3</v>
          </cell>
          <cell r="C481">
            <v>1</v>
          </cell>
          <cell r="D481">
            <v>210</v>
          </cell>
          <cell r="E481">
            <v>2</v>
          </cell>
          <cell r="F481" t="str">
            <v>TJS</v>
          </cell>
          <cell r="G481">
            <v>42</v>
          </cell>
          <cell r="H481">
            <v>5000</v>
          </cell>
          <cell r="I481">
            <v>1</v>
          </cell>
          <cell r="J481" t="str">
            <v>ТАК ПСБ "Ориёнбанк"</v>
          </cell>
          <cell r="K481">
            <v>210000</v>
          </cell>
          <cell r="L481">
            <v>5000</v>
          </cell>
          <cell r="M481">
            <v>1</v>
          </cell>
          <cell r="N481">
            <v>210000</v>
          </cell>
        </row>
        <row r="482">
          <cell r="A482">
            <v>2003</v>
          </cell>
          <cell r="B482">
            <v>3</v>
          </cell>
          <cell r="C482">
            <v>1</v>
          </cell>
          <cell r="D482">
            <v>180</v>
          </cell>
          <cell r="E482">
            <v>2</v>
          </cell>
          <cell r="F482" t="str">
            <v>TJS</v>
          </cell>
          <cell r="G482">
            <v>30</v>
          </cell>
          <cell r="H482">
            <v>9500</v>
          </cell>
          <cell r="I482">
            <v>3</v>
          </cell>
          <cell r="J482" t="str">
            <v>ТАК ПСБ "Ориёнбанк"</v>
          </cell>
          <cell r="K482">
            <v>285000</v>
          </cell>
          <cell r="L482">
            <v>9500</v>
          </cell>
          <cell r="M482">
            <v>1</v>
          </cell>
          <cell r="N482">
            <v>285000</v>
          </cell>
        </row>
        <row r="483">
          <cell r="A483">
            <v>2003</v>
          </cell>
          <cell r="B483">
            <v>3</v>
          </cell>
          <cell r="C483">
            <v>1</v>
          </cell>
          <cell r="D483">
            <v>300</v>
          </cell>
          <cell r="E483">
            <v>1</v>
          </cell>
          <cell r="F483" t="str">
            <v>TJS</v>
          </cell>
          <cell r="G483">
            <v>20</v>
          </cell>
          <cell r="H483">
            <v>32000</v>
          </cell>
          <cell r="I483">
            <v>1</v>
          </cell>
          <cell r="J483" t="str">
            <v>АКБ  СП "Сохибкорбанк"</v>
          </cell>
          <cell r="K483">
            <v>640000</v>
          </cell>
          <cell r="L483">
            <v>32000</v>
          </cell>
          <cell r="M483">
            <v>1</v>
          </cell>
          <cell r="N483">
            <v>640000</v>
          </cell>
        </row>
        <row r="484">
          <cell r="A484">
            <v>2003</v>
          </cell>
          <cell r="B484">
            <v>3</v>
          </cell>
          <cell r="C484">
            <v>1</v>
          </cell>
          <cell r="D484">
            <v>180</v>
          </cell>
          <cell r="E484">
            <v>2</v>
          </cell>
          <cell r="F484" t="str">
            <v>TJS</v>
          </cell>
          <cell r="G484">
            <v>24</v>
          </cell>
          <cell r="H484">
            <v>6000</v>
          </cell>
          <cell r="I484">
            <v>1</v>
          </cell>
          <cell r="J484" t="str">
            <v>АКБ  СП "Сохибкорбанк"</v>
          </cell>
          <cell r="K484">
            <v>144000</v>
          </cell>
          <cell r="L484">
            <v>6000</v>
          </cell>
          <cell r="M484">
            <v>1</v>
          </cell>
          <cell r="N484">
            <v>144000</v>
          </cell>
        </row>
        <row r="485">
          <cell r="A485">
            <v>2003</v>
          </cell>
          <cell r="B485">
            <v>3</v>
          </cell>
          <cell r="C485">
            <v>1</v>
          </cell>
          <cell r="D485">
            <v>245</v>
          </cell>
          <cell r="E485">
            <v>1</v>
          </cell>
          <cell r="F485" t="str">
            <v>TJS</v>
          </cell>
          <cell r="G485">
            <v>28</v>
          </cell>
          <cell r="H485">
            <v>320000</v>
          </cell>
          <cell r="I485">
            <v>1</v>
          </cell>
          <cell r="J485" t="str">
            <v>АООТ "Ходжент"</v>
          </cell>
          <cell r="K485">
            <v>8960000</v>
          </cell>
          <cell r="L485">
            <v>320000</v>
          </cell>
          <cell r="M485">
            <v>1</v>
          </cell>
          <cell r="N485">
            <v>8960000</v>
          </cell>
        </row>
        <row r="486">
          <cell r="A486">
            <v>2003</v>
          </cell>
          <cell r="B486">
            <v>3</v>
          </cell>
          <cell r="C486">
            <v>1</v>
          </cell>
          <cell r="D486">
            <v>255</v>
          </cell>
          <cell r="E486">
            <v>1</v>
          </cell>
          <cell r="F486" t="str">
            <v>TJS</v>
          </cell>
          <cell r="G486">
            <v>24</v>
          </cell>
          <cell r="H486">
            <v>150000</v>
          </cell>
          <cell r="I486">
            <v>1</v>
          </cell>
          <cell r="J486" t="str">
            <v>АООТ "Ходжент"</v>
          </cell>
          <cell r="K486">
            <v>3600000</v>
          </cell>
          <cell r="L486">
            <v>150000</v>
          </cell>
          <cell r="M486">
            <v>1</v>
          </cell>
          <cell r="N486">
            <v>3600000</v>
          </cell>
        </row>
        <row r="487">
          <cell r="A487">
            <v>2003</v>
          </cell>
          <cell r="B487">
            <v>3</v>
          </cell>
          <cell r="C487">
            <v>1</v>
          </cell>
          <cell r="D487">
            <v>270</v>
          </cell>
          <cell r="E487">
            <v>1</v>
          </cell>
          <cell r="F487" t="str">
            <v>TJS</v>
          </cell>
          <cell r="G487">
            <v>36</v>
          </cell>
          <cell r="H487">
            <v>41100</v>
          </cell>
          <cell r="I487">
            <v>18</v>
          </cell>
          <cell r="J487" t="str">
            <v>КТОО "Дехкон"</v>
          </cell>
          <cell r="K487">
            <v>1479600</v>
          </cell>
          <cell r="L487">
            <v>41100</v>
          </cell>
          <cell r="M487">
            <v>1</v>
          </cell>
          <cell r="N487">
            <v>1479600</v>
          </cell>
        </row>
        <row r="488">
          <cell r="A488">
            <v>2003</v>
          </cell>
          <cell r="B488">
            <v>4</v>
          </cell>
          <cell r="C488">
            <v>1</v>
          </cell>
          <cell r="D488">
            <v>60</v>
          </cell>
          <cell r="E488">
            <v>2</v>
          </cell>
          <cell r="F488" t="str">
            <v>USD</v>
          </cell>
          <cell r="G488">
            <v>45</v>
          </cell>
          <cell r="H488">
            <v>1545</v>
          </cell>
          <cell r="I488">
            <v>1</v>
          </cell>
          <cell r="J488" t="str">
            <v>АК АПИБ "Агроинвестбанк"</v>
          </cell>
          <cell r="K488">
            <v>69525</v>
          </cell>
          <cell r="L488">
            <v>1570.4111842105262</v>
          </cell>
          <cell r="M488">
            <v>1.0164473684210527</v>
          </cell>
          <cell r="N488">
            <v>70668.50328947368</v>
          </cell>
        </row>
        <row r="489">
          <cell r="A489">
            <v>2003</v>
          </cell>
          <cell r="B489">
            <v>4</v>
          </cell>
          <cell r="C489">
            <v>1</v>
          </cell>
          <cell r="D489">
            <v>60</v>
          </cell>
          <cell r="E489">
            <v>2</v>
          </cell>
          <cell r="F489" t="str">
            <v>USD</v>
          </cell>
          <cell r="G489">
            <v>36</v>
          </cell>
          <cell r="H489">
            <v>1545</v>
          </cell>
          <cell r="I489">
            <v>1</v>
          </cell>
          <cell r="J489" t="str">
            <v>АК АПИБ "Агроинвестбанк"</v>
          </cell>
          <cell r="K489">
            <v>55620</v>
          </cell>
          <cell r="L489">
            <v>1570.4111842105262</v>
          </cell>
          <cell r="M489">
            <v>1.0164473684210527</v>
          </cell>
          <cell r="N489">
            <v>56534.80263157895</v>
          </cell>
        </row>
        <row r="490">
          <cell r="A490">
            <v>2003</v>
          </cell>
          <cell r="B490">
            <v>4</v>
          </cell>
          <cell r="C490">
            <v>1</v>
          </cell>
          <cell r="D490">
            <v>90</v>
          </cell>
          <cell r="E490">
            <v>2</v>
          </cell>
          <cell r="F490" t="str">
            <v>USD</v>
          </cell>
          <cell r="G490">
            <v>30</v>
          </cell>
          <cell r="H490">
            <v>2627</v>
          </cell>
          <cell r="I490">
            <v>1</v>
          </cell>
          <cell r="J490" t="str">
            <v>АК АПИБ "Агроинвестбанк"</v>
          </cell>
          <cell r="K490">
            <v>78810</v>
          </cell>
          <cell r="L490">
            <v>2670.2072368421054</v>
          </cell>
          <cell r="M490">
            <v>1.0164473684210527</v>
          </cell>
          <cell r="N490">
            <v>80106.21710526316</v>
          </cell>
        </row>
        <row r="491">
          <cell r="A491">
            <v>2003</v>
          </cell>
          <cell r="B491">
            <v>4</v>
          </cell>
          <cell r="C491">
            <v>1</v>
          </cell>
          <cell r="D491">
            <v>110</v>
          </cell>
          <cell r="E491">
            <v>2</v>
          </cell>
          <cell r="F491" t="str">
            <v>USD</v>
          </cell>
          <cell r="G491">
            <v>30</v>
          </cell>
          <cell r="H491">
            <v>927</v>
          </cell>
          <cell r="I491">
            <v>1</v>
          </cell>
          <cell r="J491" t="str">
            <v>АК АПИБ "Агроинвестбанк"</v>
          </cell>
          <cell r="K491">
            <v>27810</v>
          </cell>
          <cell r="L491">
            <v>942.2467105263158</v>
          </cell>
          <cell r="M491">
            <v>1.0164473684210527</v>
          </cell>
          <cell r="N491">
            <v>28267.401315789473</v>
          </cell>
        </row>
        <row r="492">
          <cell r="A492">
            <v>2003</v>
          </cell>
          <cell r="B492">
            <v>4</v>
          </cell>
          <cell r="C492">
            <v>1</v>
          </cell>
          <cell r="D492">
            <v>115</v>
          </cell>
          <cell r="E492">
            <v>2</v>
          </cell>
          <cell r="F492" t="str">
            <v>USD</v>
          </cell>
          <cell r="G492">
            <v>40</v>
          </cell>
          <cell r="H492">
            <v>1545</v>
          </cell>
          <cell r="I492">
            <v>1</v>
          </cell>
          <cell r="J492" t="str">
            <v>АК АПИБ "Агроинвестбанк"</v>
          </cell>
          <cell r="K492">
            <v>61800</v>
          </cell>
          <cell r="L492">
            <v>1570.4111842105262</v>
          </cell>
          <cell r="M492">
            <v>1.0164473684210527</v>
          </cell>
          <cell r="N492">
            <v>62816.44736842105</v>
          </cell>
        </row>
        <row r="493">
          <cell r="A493">
            <v>2003</v>
          </cell>
          <cell r="B493">
            <v>4</v>
          </cell>
          <cell r="C493">
            <v>1</v>
          </cell>
          <cell r="D493">
            <v>120</v>
          </cell>
          <cell r="E493">
            <v>2</v>
          </cell>
          <cell r="F493" t="str">
            <v>USD</v>
          </cell>
          <cell r="G493">
            <v>40</v>
          </cell>
          <cell r="H493">
            <v>6180</v>
          </cell>
          <cell r="I493">
            <v>4</v>
          </cell>
          <cell r="J493" t="str">
            <v>АК АПИБ "Агроинвестбанк"</v>
          </cell>
          <cell r="K493">
            <v>247200</v>
          </cell>
          <cell r="L493">
            <v>6281.644736842105</v>
          </cell>
          <cell r="M493">
            <v>1.0164473684210527</v>
          </cell>
          <cell r="N493">
            <v>251265.7894736842</v>
          </cell>
        </row>
        <row r="494">
          <cell r="A494">
            <v>2003</v>
          </cell>
          <cell r="B494">
            <v>4</v>
          </cell>
          <cell r="C494">
            <v>1</v>
          </cell>
          <cell r="D494">
            <v>125</v>
          </cell>
          <cell r="E494">
            <v>2</v>
          </cell>
          <cell r="F494" t="str">
            <v>USD</v>
          </cell>
          <cell r="G494">
            <v>40</v>
          </cell>
          <cell r="H494">
            <v>6180</v>
          </cell>
          <cell r="I494">
            <v>4</v>
          </cell>
          <cell r="J494" t="str">
            <v>АК АПИБ "Агроинвестбанк"</v>
          </cell>
          <cell r="K494">
            <v>247200</v>
          </cell>
          <cell r="L494">
            <v>6281.644736842105</v>
          </cell>
          <cell r="M494">
            <v>1.0164473684210527</v>
          </cell>
          <cell r="N494">
            <v>251265.7894736842</v>
          </cell>
        </row>
        <row r="495">
          <cell r="A495">
            <v>2003</v>
          </cell>
          <cell r="B495">
            <v>4</v>
          </cell>
          <cell r="C495">
            <v>1</v>
          </cell>
          <cell r="D495">
            <v>123</v>
          </cell>
          <cell r="E495">
            <v>2</v>
          </cell>
          <cell r="F495" t="str">
            <v>USD</v>
          </cell>
          <cell r="G495">
            <v>40</v>
          </cell>
          <cell r="H495">
            <v>1545</v>
          </cell>
          <cell r="I495">
            <v>1</v>
          </cell>
          <cell r="J495" t="str">
            <v>АК АПИБ "Агроинвестбанк"</v>
          </cell>
          <cell r="K495">
            <v>61800</v>
          </cell>
          <cell r="L495">
            <v>1570.4111842105262</v>
          </cell>
          <cell r="M495">
            <v>1.0164473684210527</v>
          </cell>
          <cell r="N495">
            <v>62816.44736842105</v>
          </cell>
        </row>
        <row r="496">
          <cell r="A496">
            <v>2003</v>
          </cell>
          <cell r="B496">
            <v>4</v>
          </cell>
          <cell r="C496">
            <v>1</v>
          </cell>
          <cell r="D496">
            <v>128</v>
          </cell>
          <cell r="E496">
            <v>2</v>
          </cell>
          <cell r="F496" t="str">
            <v>USD</v>
          </cell>
          <cell r="G496">
            <v>30</v>
          </cell>
          <cell r="H496">
            <v>1545</v>
          </cell>
          <cell r="I496">
            <v>1</v>
          </cell>
          <cell r="J496" t="str">
            <v>АК АПИБ "Агроинвестбанк"</v>
          </cell>
          <cell r="K496">
            <v>46350</v>
          </cell>
          <cell r="L496">
            <v>1570.4111842105262</v>
          </cell>
          <cell r="M496">
            <v>1.0164473684210527</v>
          </cell>
          <cell r="N496">
            <v>47112.335526315794</v>
          </cell>
        </row>
        <row r="497">
          <cell r="A497">
            <v>2003</v>
          </cell>
          <cell r="B497">
            <v>4</v>
          </cell>
          <cell r="C497">
            <v>1</v>
          </cell>
          <cell r="D497">
            <v>142</v>
          </cell>
          <cell r="E497">
            <v>2</v>
          </cell>
          <cell r="F497" t="str">
            <v>USD</v>
          </cell>
          <cell r="G497">
            <v>30</v>
          </cell>
          <cell r="H497">
            <v>1545</v>
          </cell>
          <cell r="I497">
            <v>1</v>
          </cell>
          <cell r="J497" t="str">
            <v>АК АПИБ "Агроинвестбанк"</v>
          </cell>
          <cell r="K497">
            <v>46350</v>
          </cell>
          <cell r="L497">
            <v>1570.4111842105262</v>
          </cell>
          <cell r="M497">
            <v>1.0164473684210527</v>
          </cell>
          <cell r="N497">
            <v>47112.335526315794</v>
          </cell>
        </row>
        <row r="498">
          <cell r="A498">
            <v>2003</v>
          </cell>
          <cell r="B498">
            <v>4</v>
          </cell>
          <cell r="C498">
            <v>1</v>
          </cell>
          <cell r="D498">
            <v>150</v>
          </cell>
          <cell r="E498">
            <v>2</v>
          </cell>
          <cell r="F498" t="str">
            <v>USD</v>
          </cell>
          <cell r="G498">
            <v>30</v>
          </cell>
          <cell r="H498">
            <v>6180</v>
          </cell>
          <cell r="I498">
            <v>4</v>
          </cell>
          <cell r="J498" t="str">
            <v>АК АПИБ "Агроинвестбанк"</v>
          </cell>
          <cell r="K498">
            <v>185400</v>
          </cell>
          <cell r="L498">
            <v>6281.644736842105</v>
          </cell>
          <cell r="M498">
            <v>1.0164473684210527</v>
          </cell>
          <cell r="N498">
            <v>188449.34210526317</v>
          </cell>
        </row>
        <row r="499">
          <cell r="A499">
            <v>2003</v>
          </cell>
          <cell r="B499">
            <v>4</v>
          </cell>
          <cell r="C499">
            <v>1</v>
          </cell>
          <cell r="D499">
            <v>157</v>
          </cell>
          <cell r="E499">
            <v>2</v>
          </cell>
          <cell r="F499" t="str">
            <v>USD</v>
          </cell>
          <cell r="G499">
            <v>30</v>
          </cell>
          <cell r="H499">
            <v>1545</v>
          </cell>
          <cell r="I499">
            <v>1</v>
          </cell>
          <cell r="J499" t="str">
            <v>АК АПИБ "Агроинвестбанк"</v>
          </cell>
          <cell r="K499">
            <v>46350</v>
          </cell>
          <cell r="L499">
            <v>1570.4111842105262</v>
          </cell>
          <cell r="M499">
            <v>1.0164473684210527</v>
          </cell>
          <cell r="N499">
            <v>47112.335526315794</v>
          </cell>
        </row>
        <row r="500">
          <cell r="A500">
            <v>2003</v>
          </cell>
          <cell r="B500">
            <v>4</v>
          </cell>
          <cell r="C500">
            <v>1</v>
          </cell>
          <cell r="D500">
            <v>168</v>
          </cell>
          <cell r="E500">
            <v>2</v>
          </cell>
          <cell r="F500" t="str">
            <v>USD</v>
          </cell>
          <cell r="G500">
            <v>30</v>
          </cell>
          <cell r="H500">
            <v>3090</v>
          </cell>
          <cell r="I500">
            <v>2</v>
          </cell>
          <cell r="J500" t="str">
            <v>АК АПИБ "Агроинвестбанк"</v>
          </cell>
          <cell r="K500">
            <v>92700</v>
          </cell>
          <cell r="L500">
            <v>3140.8223684210525</v>
          </cell>
          <cell r="M500">
            <v>1.0164473684210527</v>
          </cell>
          <cell r="N500">
            <v>94224.67105263159</v>
          </cell>
        </row>
        <row r="501">
          <cell r="A501">
            <v>2003</v>
          </cell>
          <cell r="B501">
            <v>4</v>
          </cell>
          <cell r="C501">
            <v>1</v>
          </cell>
          <cell r="D501">
            <v>174</v>
          </cell>
          <cell r="E501">
            <v>2</v>
          </cell>
          <cell r="F501" t="str">
            <v>USD</v>
          </cell>
          <cell r="G501">
            <v>30</v>
          </cell>
          <cell r="H501">
            <v>6180</v>
          </cell>
          <cell r="I501">
            <v>4</v>
          </cell>
          <cell r="J501" t="str">
            <v>АК АПИБ "Агроинвестбанк"</v>
          </cell>
          <cell r="K501">
            <v>185400</v>
          </cell>
          <cell r="L501">
            <v>6281.644736842105</v>
          </cell>
          <cell r="M501">
            <v>1.0164473684210527</v>
          </cell>
          <cell r="N501">
            <v>188449.34210526317</v>
          </cell>
        </row>
        <row r="502">
          <cell r="A502">
            <v>2003</v>
          </cell>
          <cell r="B502">
            <v>4</v>
          </cell>
          <cell r="C502">
            <v>1</v>
          </cell>
          <cell r="D502">
            <v>175</v>
          </cell>
          <cell r="E502">
            <v>2</v>
          </cell>
          <cell r="F502" t="str">
            <v>USD</v>
          </cell>
          <cell r="G502">
            <v>30</v>
          </cell>
          <cell r="H502">
            <v>1545</v>
          </cell>
          <cell r="I502">
            <v>1</v>
          </cell>
          <cell r="J502" t="str">
            <v>АК АПИБ "Агроинвестбанк"</v>
          </cell>
          <cell r="K502">
            <v>46350</v>
          </cell>
          <cell r="L502">
            <v>1570.4111842105262</v>
          </cell>
          <cell r="M502">
            <v>1.0164473684210527</v>
          </cell>
          <cell r="N502">
            <v>47112.335526315794</v>
          </cell>
        </row>
        <row r="503">
          <cell r="A503">
            <v>2003</v>
          </cell>
          <cell r="B503">
            <v>4</v>
          </cell>
          <cell r="C503">
            <v>1</v>
          </cell>
          <cell r="D503">
            <v>180</v>
          </cell>
          <cell r="E503">
            <v>2</v>
          </cell>
          <cell r="F503" t="str">
            <v>USD</v>
          </cell>
          <cell r="G503">
            <v>14</v>
          </cell>
          <cell r="H503">
            <v>1545</v>
          </cell>
          <cell r="I503">
            <v>1</v>
          </cell>
          <cell r="J503" t="str">
            <v>АК АПИБ "Агроинвестбанк"</v>
          </cell>
          <cell r="K503">
            <v>21630</v>
          </cell>
          <cell r="L503">
            <v>1570.4111842105262</v>
          </cell>
          <cell r="M503">
            <v>1.0164473684210527</v>
          </cell>
          <cell r="N503">
            <v>21985.75657894737</v>
          </cell>
        </row>
        <row r="504">
          <cell r="A504">
            <v>2003</v>
          </cell>
          <cell r="B504">
            <v>4</v>
          </cell>
          <cell r="C504">
            <v>1</v>
          </cell>
          <cell r="D504">
            <v>180</v>
          </cell>
          <cell r="E504">
            <v>2</v>
          </cell>
          <cell r="F504" t="str">
            <v>USD</v>
          </cell>
          <cell r="G504">
            <v>30</v>
          </cell>
          <cell r="H504">
            <v>7725</v>
          </cell>
          <cell r="I504">
            <v>5</v>
          </cell>
          <cell r="J504" t="str">
            <v>АК АПИБ "Агроинвестбанк"</v>
          </cell>
          <cell r="K504">
            <v>231750</v>
          </cell>
          <cell r="L504">
            <v>7852.055921052632</v>
          </cell>
          <cell r="M504">
            <v>1.0164473684210527</v>
          </cell>
          <cell r="N504">
            <v>235561.67763157896</v>
          </cell>
        </row>
        <row r="505">
          <cell r="A505">
            <v>2003</v>
          </cell>
          <cell r="B505">
            <v>4</v>
          </cell>
          <cell r="C505">
            <v>1</v>
          </cell>
          <cell r="D505">
            <v>180</v>
          </cell>
          <cell r="E505">
            <v>2</v>
          </cell>
          <cell r="F505" t="str">
            <v>USD</v>
          </cell>
          <cell r="G505">
            <v>40</v>
          </cell>
          <cell r="H505">
            <v>3090</v>
          </cell>
          <cell r="I505">
            <v>2</v>
          </cell>
          <cell r="J505" t="str">
            <v>АК АПИБ "Агроинвестбанк"</v>
          </cell>
          <cell r="K505">
            <v>123600</v>
          </cell>
          <cell r="L505">
            <v>3140.8223684210525</v>
          </cell>
          <cell r="M505">
            <v>1.0164473684210527</v>
          </cell>
          <cell r="N505">
            <v>125632.8947368421</v>
          </cell>
        </row>
        <row r="506">
          <cell r="A506">
            <v>2003</v>
          </cell>
          <cell r="B506">
            <v>4</v>
          </cell>
          <cell r="C506">
            <v>1</v>
          </cell>
          <cell r="D506">
            <v>185</v>
          </cell>
          <cell r="E506">
            <v>2</v>
          </cell>
          <cell r="F506" t="str">
            <v>USD</v>
          </cell>
          <cell r="G506">
            <v>14</v>
          </cell>
          <cell r="H506">
            <v>1236</v>
          </cell>
          <cell r="I506">
            <v>1</v>
          </cell>
          <cell r="J506" t="str">
            <v>АК АПИБ "Агроинвестбанк"</v>
          </cell>
          <cell r="K506">
            <v>17304</v>
          </cell>
          <cell r="L506">
            <v>1256.328947368421</v>
          </cell>
          <cell r="M506">
            <v>1.0164473684210527</v>
          </cell>
          <cell r="N506">
            <v>17588.605263157897</v>
          </cell>
        </row>
        <row r="507">
          <cell r="A507">
            <v>2003</v>
          </cell>
          <cell r="B507">
            <v>4</v>
          </cell>
          <cell r="C507">
            <v>1</v>
          </cell>
          <cell r="D507">
            <v>185</v>
          </cell>
          <cell r="E507">
            <v>2</v>
          </cell>
          <cell r="F507" t="str">
            <v>USD</v>
          </cell>
          <cell r="G507">
            <v>30</v>
          </cell>
          <cell r="H507">
            <v>1545</v>
          </cell>
          <cell r="I507">
            <v>1</v>
          </cell>
          <cell r="J507" t="str">
            <v>АК АПИБ "Агроинвестбанк"</v>
          </cell>
          <cell r="K507">
            <v>46350</v>
          </cell>
          <cell r="L507">
            <v>1570.4111842105262</v>
          </cell>
          <cell r="M507">
            <v>1.0164473684210527</v>
          </cell>
          <cell r="N507">
            <v>47112.335526315794</v>
          </cell>
        </row>
        <row r="508">
          <cell r="A508">
            <v>2003</v>
          </cell>
          <cell r="B508">
            <v>4</v>
          </cell>
          <cell r="C508">
            <v>1</v>
          </cell>
          <cell r="D508">
            <v>190</v>
          </cell>
          <cell r="E508">
            <v>2</v>
          </cell>
          <cell r="F508" t="str">
            <v>USD</v>
          </cell>
          <cell r="G508">
            <v>30</v>
          </cell>
          <cell r="H508">
            <v>1545</v>
          </cell>
          <cell r="I508">
            <v>1</v>
          </cell>
          <cell r="J508" t="str">
            <v>АК АПИБ "Агроинвестбанк"</v>
          </cell>
          <cell r="K508">
            <v>46350</v>
          </cell>
          <cell r="L508">
            <v>1570.4111842105262</v>
          </cell>
          <cell r="M508">
            <v>1.0164473684210527</v>
          </cell>
          <cell r="N508">
            <v>47112.335526315794</v>
          </cell>
        </row>
        <row r="509">
          <cell r="A509">
            <v>2003</v>
          </cell>
          <cell r="B509">
            <v>4</v>
          </cell>
          <cell r="C509">
            <v>1</v>
          </cell>
          <cell r="D509">
            <v>200</v>
          </cell>
          <cell r="E509">
            <v>2</v>
          </cell>
          <cell r="F509" t="str">
            <v>USD</v>
          </cell>
          <cell r="G509">
            <v>30</v>
          </cell>
          <cell r="H509">
            <v>1545</v>
          </cell>
          <cell r="I509">
            <v>1</v>
          </cell>
          <cell r="J509" t="str">
            <v>АК АПИБ "Агроинвестбанк"</v>
          </cell>
          <cell r="K509">
            <v>46350</v>
          </cell>
          <cell r="L509">
            <v>1570.4111842105262</v>
          </cell>
          <cell r="M509">
            <v>1.0164473684210527</v>
          </cell>
          <cell r="N509">
            <v>47112.335526315794</v>
          </cell>
        </row>
        <row r="510">
          <cell r="A510">
            <v>2003</v>
          </cell>
          <cell r="B510">
            <v>4</v>
          </cell>
          <cell r="C510">
            <v>1</v>
          </cell>
          <cell r="D510">
            <v>209</v>
          </cell>
          <cell r="E510">
            <v>2</v>
          </cell>
          <cell r="F510" t="str">
            <v>USD</v>
          </cell>
          <cell r="G510">
            <v>40</v>
          </cell>
          <cell r="H510">
            <v>1545</v>
          </cell>
          <cell r="I510">
            <v>1</v>
          </cell>
          <cell r="J510" t="str">
            <v>АК АПИБ "Агроинвестбанк"</v>
          </cell>
          <cell r="K510">
            <v>61800</v>
          </cell>
          <cell r="L510">
            <v>1570.4111842105262</v>
          </cell>
          <cell r="M510">
            <v>1.0164473684210527</v>
          </cell>
          <cell r="N510">
            <v>62816.44736842105</v>
          </cell>
        </row>
        <row r="511">
          <cell r="A511">
            <v>2003</v>
          </cell>
          <cell r="B511">
            <v>4</v>
          </cell>
          <cell r="C511">
            <v>1</v>
          </cell>
          <cell r="D511">
            <v>215</v>
          </cell>
          <cell r="E511">
            <v>2</v>
          </cell>
          <cell r="F511" t="str">
            <v>USD</v>
          </cell>
          <cell r="G511">
            <v>30</v>
          </cell>
          <cell r="H511">
            <v>1545</v>
          </cell>
          <cell r="I511">
            <v>1</v>
          </cell>
          <cell r="J511" t="str">
            <v>АК АПИБ "Агроинвестбанк"</v>
          </cell>
          <cell r="K511">
            <v>46350</v>
          </cell>
          <cell r="L511">
            <v>1570.4111842105262</v>
          </cell>
          <cell r="M511">
            <v>1.0164473684210527</v>
          </cell>
          <cell r="N511">
            <v>47112.335526315794</v>
          </cell>
        </row>
        <row r="512">
          <cell r="A512">
            <v>2003</v>
          </cell>
          <cell r="B512">
            <v>4</v>
          </cell>
          <cell r="C512">
            <v>1</v>
          </cell>
          <cell r="D512">
            <v>215</v>
          </cell>
          <cell r="E512">
            <v>2</v>
          </cell>
          <cell r="F512" t="str">
            <v>USD</v>
          </cell>
          <cell r="G512">
            <v>40</v>
          </cell>
          <cell r="H512">
            <v>23175</v>
          </cell>
          <cell r="I512">
            <v>15</v>
          </cell>
          <cell r="J512" t="str">
            <v>АК АПИБ "Агроинвестбанк"</v>
          </cell>
          <cell r="K512">
            <v>927000</v>
          </cell>
          <cell r="L512">
            <v>23556.167763157897</v>
          </cell>
          <cell r="M512">
            <v>1.0164473684210527</v>
          </cell>
          <cell r="N512">
            <v>942246.7105263158</v>
          </cell>
        </row>
        <row r="513">
          <cell r="A513">
            <v>2003</v>
          </cell>
          <cell r="B513">
            <v>4</v>
          </cell>
          <cell r="C513">
            <v>1</v>
          </cell>
          <cell r="D513">
            <v>235</v>
          </cell>
          <cell r="E513">
            <v>2</v>
          </cell>
          <cell r="F513" t="str">
            <v>USD</v>
          </cell>
          <cell r="G513">
            <v>28</v>
          </cell>
          <cell r="H513">
            <v>1545</v>
          </cell>
          <cell r="I513">
            <v>1</v>
          </cell>
          <cell r="J513" t="str">
            <v>АК АПИБ "Агроинвестбанк"</v>
          </cell>
          <cell r="K513">
            <v>43260</v>
          </cell>
          <cell r="L513">
            <v>1570.4111842105262</v>
          </cell>
          <cell r="M513">
            <v>1.0164473684210527</v>
          </cell>
          <cell r="N513">
            <v>43971.51315789474</v>
          </cell>
        </row>
        <row r="514">
          <cell r="A514">
            <v>2003</v>
          </cell>
          <cell r="B514">
            <v>4</v>
          </cell>
          <cell r="C514">
            <v>1</v>
          </cell>
          <cell r="D514">
            <v>235</v>
          </cell>
          <cell r="E514">
            <v>2</v>
          </cell>
          <cell r="F514" t="str">
            <v>USD</v>
          </cell>
          <cell r="G514">
            <v>30</v>
          </cell>
          <cell r="H514">
            <v>1545</v>
          </cell>
          <cell r="I514">
            <v>1</v>
          </cell>
          <cell r="J514" t="str">
            <v>АК АПИБ "Агроинвестбанк"</v>
          </cell>
          <cell r="K514">
            <v>46350</v>
          </cell>
          <cell r="L514">
            <v>1570.4111842105262</v>
          </cell>
          <cell r="M514">
            <v>1.0164473684210527</v>
          </cell>
          <cell r="N514">
            <v>47112.335526315794</v>
          </cell>
        </row>
        <row r="515">
          <cell r="A515">
            <v>2003</v>
          </cell>
          <cell r="B515">
            <v>4</v>
          </cell>
          <cell r="C515">
            <v>1</v>
          </cell>
          <cell r="D515">
            <v>240</v>
          </cell>
          <cell r="E515">
            <v>2</v>
          </cell>
          <cell r="F515" t="str">
            <v>USD</v>
          </cell>
          <cell r="G515">
            <v>30</v>
          </cell>
          <cell r="H515">
            <v>1545</v>
          </cell>
          <cell r="I515">
            <v>1</v>
          </cell>
          <cell r="J515" t="str">
            <v>АК АПИБ "Агроинвестбанк"</v>
          </cell>
          <cell r="K515">
            <v>46350</v>
          </cell>
          <cell r="L515">
            <v>1570.4111842105262</v>
          </cell>
          <cell r="M515">
            <v>1.0164473684210527</v>
          </cell>
          <cell r="N515">
            <v>47112.335526315794</v>
          </cell>
        </row>
        <row r="516">
          <cell r="A516">
            <v>2003</v>
          </cell>
          <cell r="B516">
            <v>4</v>
          </cell>
          <cell r="C516">
            <v>1</v>
          </cell>
          <cell r="D516">
            <v>340</v>
          </cell>
          <cell r="E516">
            <v>2</v>
          </cell>
          <cell r="F516" t="str">
            <v>USD</v>
          </cell>
          <cell r="G516">
            <v>30</v>
          </cell>
          <cell r="H516">
            <v>1545</v>
          </cell>
          <cell r="I516">
            <v>1</v>
          </cell>
          <cell r="J516" t="str">
            <v>АК АПИБ "Агроинвестбанк"</v>
          </cell>
          <cell r="K516">
            <v>46350</v>
          </cell>
          <cell r="L516">
            <v>1570.4111842105262</v>
          </cell>
          <cell r="M516">
            <v>1.0164473684210527</v>
          </cell>
          <cell r="N516">
            <v>47112.335526315794</v>
          </cell>
        </row>
        <row r="517">
          <cell r="A517">
            <v>2003</v>
          </cell>
          <cell r="B517">
            <v>4</v>
          </cell>
          <cell r="C517">
            <v>1</v>
          </cell>
          <cell r="D517">
            <v>363</v>
          </cell>
          <cell r="E517">
            <v>2</v>
          </cell>
          <cell r="F517" t="str">
            <v>USD</v>
          </cell>
          <cell r="G517">
            <v>30</v>
          </cell>
          <cell r="H517">
            <v>1545</v>
          </cell>
          <cell r="I517">
            <v>1</v>
          </cell>
          <cell r="J517" t="str">
            <v>АК АПИБ "Агроинвестбанк"</v>
          </cell>
          <cell r="K517">
            <v>46350</v>
          </cell>
          <cell r="L517">
            <v>1570.4111842105262</v>
          </cell>
          <cell r="M517">
            <v>1.0164473684210527</v>
          </cell>
          <cell r="N517">
            <v>47112.335526315794</v>
          </cell>
        </row>
        <row r="518">
          <cell r="A518">
            <v>2003</v>
          </cell>
          <cell r="B518">
            <v>4</v>
          </cell>
          <cell r="C518">
            <v>1</v>
          </cell>
          <cell r="D518">
            <v>180</v>
          </cell>
          <cell r="E518">
            <v>1</v>
          </cell>
          <cell r="F518" t="str">
            <v>USD</v>
          </cell>
          <cell r="G518">
            <v>24</v>
          </cell>
          <cell r="H518">
            <v>46350</v>
          </cell>
          <cell r="I518">
            <v>1</v>
          </cell>
          <cell r="J518" t="str">
            <v>АК АПИБ "Агроинвестбанк"</v>
          </cell>
          <cell r="K518">
            <v>1112400</v>
          </cell>
          <cell r="L518">
            <v>47112.335526315794</v>
          </cell>
          <cell r="M518">
            <v>1.0164473684210527</v>
          </cell>
          <cell r="N518">
            <v>1130696.0526315789</v>
          </cell>
        </row>
        <row r="519">
          <cell r="A519">
            <v>2003</v>
          </cell>
          <cell r="B519">
            <v>4</v>
          </cell>
          <cell r="C519">
            <v>1</v>
          </cell>
          <cell r="D519">
            <v>273</v>
          </cell>
          <cell r="E519">
            <v>1</v>
          </cell>
          <cell r="F519" t="str">
            <v>USD</v>
          </cell>
          <cell r="G519">
            <v>12</v>
          </cell>
          <cell r="H519">
            <v>52530</v>
          </cell>
          <cell r="I519">
            <v>1</v>
          </cell>
          <cell r="J519" t="str">
            <v>АК АПИБ "Агроинвестбанк"</v>
          </cell>
          <cell r="K519">
            <v>630360</v>
          </cell>
          <cell r="L519">
            <v>53393.98026315789</v>
          </cell>
          <cell r="M519">
            <v>1.0164473684210527</v>
          </cell>
          <cell r="N519">
            <v>640727.7631578947</v>
          </cell>
        </row>
        <row r="520">
          <cell r="A520">
            <v>2003</v>
          </cell>
          <cell r="B520">
            <v>4</v>
          </cell>
          <cell r="C520">
            <v>2</v>
          </cell>
          <cell r="D520">
            <v>239</v>
          </cell>
          <cell r="E520">
            <v>1</v>
          </cell>
          <cell r="F520" t="str">
            <v>USD</v>
          </cell>
          <cell r="G520">
            <v>12</v>
          </cell>
          <cell r="H520">
            <v>49848920</v>
          </cell>
          <cell r="I520">
            <v>34</v>
          </cell>
          <cell r="J520" t="str">
            <v>АК АПИБ "Агроинвестбанк"</v>
          </cell>
          <cell r="K520">
            <v>598187040</v>
          </cell>
          <cell r="L520">
            <v>50668803.55263158</v>
          </cell>
          <cell r="M520">
            <v>1.0164473684210527</v>
          </cell>
          <cell r="N520">
            <v>608025642.6315789</v>
          </cell>
        </row>
        <row r="521">
          <cell r="A521">
            <v>2003</v>
          </cell>
          <cell r="B521">
            <v>4</v>
          </cell>
          <cell r="C521">
            <v>2</v>
          </cell>
          <cell r="D521">
            <v>241</v>
          </cell>
          <cell r="E521">
            <v>1</v>
          </cell>
          <cell r="F521" t="str">
            <v>USD</v>
          </cell>
          <cell r="G521">
            <v>12</v>
          </cell>
          <cell r="H521">
            <v>7390418</v>
          </cell>
          <cell r="I521">
            <v>8</v>
          </cell>
          <cell r="J521" t="str">
            <v>АК АПИБ "Агроинвестбанк"</v>
          </cell>
          <cell r="K521">
            <v>88685016</v>
          </cell>
          <cell r="L521">
            <v>7511970.927631579</v>
          </cell>
          <cell r="M521">
            <v>1.0164473684210527</v>
          </cell>
          <cell r="N521">
            <v>90143651.13157895</v>
          </cell>
        </row>
        <row r="522">
          <cell r="A522">
            <v>2003</v>
          </cell>
          <cell r="B522">
            <v>4</v>
          </cell>
          <cell r="C522">
            <v>2</v>
          </cell>
          <cell r="D522">
            <v>245</v>
          </cell>
          <cell r="E522">
            <v>1</v>
          </cell>
          <cell r="F522" t="str">
            <v>USD</v>
          </cell>
          <cell r="G522">
            <v>12</v>
          </cell>
          <cell r="H522">
            <v>1464265</v>
          </cell>
          <cell r="I522">
            <v>2</v>
          </cell>
          <cell r="J522" t="str">
            <v>АК АПИБ "Агроинвестбанк"</v>
          </cell>
          <cell r="K522">
            <v>17571180</v>
          </cell>
          <cell r="L522">
            <v>1488348.3059210526</v>
          </cell>
          <cell r="M522">
            <v>1.0164473684210527</v>
          </cell>
          <cell r="N522">
            <v>17860179.67105263</v>
          </cell>
        </row>
        <row r="523">
          <cell r="A523">
            <v>2003</v>
          </cell>
          <cell r="B523">
            <v>4</v>
          </cell>
          <cell r="C523">
            <v>2</v>
          </cell>
          <cell r="D523">
            <v>247</v>
          </cell>
          <cell r="E523">
            <v>1</v>
          </cell>
          <cell r="F523" t="str">
            <v>USD</v>
          </cell>
          <cell r="G523">
            <v>12</v>
          </cell>
          <cell r="H523">
            <v>6370475</v>
          </cell>
          <cell r="I523">
            <v>4</v>
          </cell>
          <cell r="J523" t="str">
            <v>АК АПИБ "Агроинвестбанк"</v>
          </cell>
          <cell r="K523">
            <v>76445700</v>
          </cell>
          <cell r="L523">
            <v>6475252.549342105</v>
          </cell>
          <cell r="M523">
            <v>1.0164473684210527</v>
          </cell>
          <cell r="N523">
            <v>77703030.59210527</v>
          </cell>
        </row>
        <row r="524">
          <cell r="A524">
            <v>2003</v>
          </cell>
          <cell r="B524">
            <v>4</v>
          </cell>
          <cell r="C524">
            <v>2</v>
          </cell>
          <cell r="D524">
            <v>258</v>
          </cell>
          <cell r="E524">
            <v>1</v>
          </cell>
          <cell r="F524" t="str">
            <v>USD</v>
          </cell>
          <cell r="G524">
            <v>12</v>
          </cell>
          <cell r="H524">
            <v>302976</v>
          </cell>
          <cell r="I524">
            <v>2</v>
          </cell>
          <cell r="J524" t="str">
            <v>АК АПИБ "Агроинвестбанк"</v>
          </cell>
          <cell r="K524">
            <v>3635712</v>
          </cell>
          <cell r="L524">
            <v>307959.15789473685</v>
          </cell>
          <cell r="M524">
            <v>1.0164473684210527</v>
          </cell>
          <cell r="N524">
            <v>3695509.8947368423</v>
          </cell>
        </row>
        <row r="525">
          <cell r="A525">
            <v>2003</v>
          </cell>
          <cell r="B525">
            <v>4</v>
          </cell>
          <cell r="C525">
            <v>2</v>
          </cell>
          <cell r="D525">
            <v>259</v>
          </cell>
          <cell r="E525">
            <v>1</v>
          </cell>
          <cell r="F525" t="str">
            <v>USD</v>
          </cell>
          <cell r="G525">
            <v>12</v>
          </cell>
          <cell r="H525">
            <v>4906087</v>
          </cell>
          <cell r="I525">
            <v>6</v>
          </cell>
          <cell r="J525" t="str">
            <v>АК АПИБ "Агроинвестбанк"</v>
          </cell>
          <cell r="K525">
            <v>58873044</v>
          </cell>
          <cell r="L525">
            <v>4986779.220394737</v>
          </cell>
          <cell r="M525">
            <v>1.0164473684210527</v>
          </cell>
          <cell r="N525">
            <v>59841350.64473684</v>
          </cell>
        </row>
        <row r="526">
          <cell r="A526">
            <v>2003</v>
          </cell>
          <cell r="B526">
            <v>4</v>
          </cell>
          <cell r="C526">
            <v>2</v>
          </cell>
          <cell r="D526">
            <v>265</v>
          </cell>
          <cell r="E526">
            <v>1</v>
          </cell>
          <cell r="F526" t="str">
            <v>USD</v>
          </cell>
          <cell r="G526">
            <v>12</v>
          </cell>
          <cell r="H526">
            <v>182410</v>
          </cell>
          <cell r="I526">
            <v>1</v>
          </cell>
          <cell r="J526" t="str">
            <v>АК АПИБ "Агроинвестбанк"</v>
          </cell>
          <cell r="K526">
            <v>2188920</v>
          </cell>
          <cell r="L526">
            <v>185410.1644736842</v>
          </cell>
          <cell r="M526">
            <v>1.0164473684210527</v>
          </cell>
          <cell r="N526">
            <v>2224921.973684211</v>
          </cell>
        </row>
        <row r="527">
          <cell r="A527">
            <v>2003</v>
          </cell>
          <cell r="B527">
            <v>4</v>
          </cell>
          <cell r="C527">
            <v>2</v>
          </cell>
          <cell r="D527">
            <v>266</v>
          </cell>
          <cell r="E527">
            <v>1</v>
          </cell>
          <cell r="F527" t="str">
            <v>USD</v>
          </cell>
          <cell r="G527">
            <v>12</v>
          </cell>
          <cell r="H527">
            <v>1183391</v>
          </cell>
          <cell r="I527">
            <v>5</v>
          </cell>
          <cell r="J527" t="str">
            <v>АК АПИБ "Агроинвестбанк"</v>
          </cell>
          <cell r="K527">
            <v>14200692</v>
          </cell>
          <cell r="L527">
            <v>1202854.667763158</v>
          </cell>
          <cell r="M527">
            <v>1.0164473684210527</v>
          </cell>
          <cell r="N527">
            <v>14434256.013157895</v>
          </cell>
        </row>
        <row r="528">
          <cell r="A528">
            <v>2003</v>
          </cell>
          <cell r="B528">
            <v>4</v>
          </cell>
          <cell r="C528">
            <v>2</v>
          </cell>
          <cell r="D528">
            <v>245</v>
          </cell>
          <cell r="E528">
            <v>1</v>
          </cell>
          <cell r="F528" t="str">
            <v>TJS</v>
          </cell>
          <cell r="G528">
            <v>12</v>
          </cell>
          <cell r="H528">
            <v>220000</v>
          </cell>
          <cell r="I528">
            <v>1</v>
          </cell>
          <cell r="J528" t="str">
            <v>АК АПИБ "Агроинвестбанк"</v>
          </cell>
          <cell r="K528">
            <v>2640000</v>
          </cell>
          <cell r="L528">
            <v>220000</v>
          </cell>
          <cell r="M528">
            <v>1</v>
          </cell>
          <cell r="N528">
            <v>2640000</v>
          </cell>
        </row>
        <row r="529">
          <cell r="A529">
            <v>2003</v>
          </cell>
          <cell r="B529">
            <v>4</v>
          </cell>
          <cell r="C529">
            <v>2</v>
          </cell>
          <cell r="D529">
            <v>265</v>
          </cell>
          <cell r="E529">
            <v>1</v>
          </cell>
          <cell r="F529" t="str">
            <v>TJS</v>
          </cell>
          <cell r="G529">
            <v>12</v>
          </cell>
          <cell r="H529">
            <v>300000</v>
          </cell>
          <cell r="I529">
            <v>1</v>
          </cell>
          <cell r="J529" t="str">
            <v>АК АПИБ "Агроинвестбанк"</v>
          </cell>
          <cell r="K529">
            <v>3600000</v>
          </cell>
          <cell r="L529">
            <v>300000</v>
          </cell>
          <cell r="M529">
            <v>1</v>
          </cell>
          <cell r="N529">
            <v>3600000</v>
          </cell>
        </row>
        <row r="530">
          <cell r="A530">
            <v>2003</v>
          </cell>
          <cell r="B530">
            <v>4</v>
          </cell>
          <cell r="C530">
            <v>2</v>
          </cell>
          <cell r="D530">
            <v>273</v>
          </cell>
          <cell r="E530">
            <v>1</v>
          </cell>
          <cell r="F530" t="str">
            <v>TJS</v>
          </cell>
          <cell r="G530">
            <v>12</v>
          </cell>
          <cell r="H530">
            <v>62353</v>
          </cell>
          <cell r="I530">
            <v>1</v>
          </cell>
          <cell r="J530" t="str">
            <v>АК АПИБ "Агроинвестбанк"</v>
          </cell>
          <cell r="K530">
            <v>748236</v>
          </cell>
          <cell r="L530">
            <v>62353</v>
          </cell>
          <cell r="M530">
            <v>1</v>
          </cell>
          <cell r="N530">
            <v>748236</v>
          </cell>
        </row>
        <row r="531">
          <cell r="A531">
            <v>2003</v>
          </cell>
          <cell r="B531">
            <v>4</v>
          </cell>
          <cell r="C531">
            <v>3</v>
          </cell>
          <cell r="D531">
            <v>365</v>
          </cell>
          <cell r="E531">
            <v>1</v>
          </cell>
          <cell r="F531" t="str">
            <v>TJS</v>
          </cell>
          <cell r="G531">
            <v>30</v>
          </cell>
          <cell r="H531">
            <v>23083</v>
          </cell>
          <cell r="I531">
            <v>1</v>
          </cell>
          <cell r="J531" t="str">
            <v>АК АПИБ "Агроинвестбанк"</v>
          </cell>
          <cell r="K531">
            <v>692490</v>
          </cell>
          <cell r="L531">
            <v>23083</v>
          </cell>
          <cell r="M531">
            <v>1</v>
          </cell>
          <cell r="N531">
            <v>692490</v>
          </cell>
        </row>
        <row r="532">
          <cell r="A532">
            <v>2003</v>
          </cell>
          <cell r="B532">
            <v>4</v>
          </cell>
          <cell r="C532">
            <v>3</v>
          </cell>
          <cell r="D532">
            <v>268</v>
          </cell>
          <cell r="E532">
            <v>2</v>
          </cell>
          <cell r="F532" t="str">
            <v>TJS</v>
          </cell>
          <cell r="G532">
            <v>30</v>
          </cell>
          <cell r="H532">
            <v>65000</v>
          </cell>
          <cell r="I532">
            <v>1</v>
          </cell>
          <cell r="J532" t="str">
            <v>АК АПИБ "Агроинвестбанк"</v>
          </cell>
          <cell r="K532">
            <v>1950000</v>
          </cell>
          <cell r="L532">
            <v>65000</v>
          </cell>
          <cell r="M532">
            <v>1</v>
          </cell>
          <cell r="N532">
            <v>1950000</v>
          </cell>
        </row>
        <row r="533">
          <cell r="A533">
            <v>2003</v>
          </cell>
          <cell r="B533">
            <v>4</v>
          </cell>
          <cell r="C533">
            <v>1</v>
          </cell>
          <cell r="D533">
            <v>61</v>
          </cell>
          <cell r="E533">
            <v>2</v>
          </cell>
          <cell r="F533" t="str">
            <v>TJS</v>
          </cell>
          <cell r="G533">
            <v>35</v>
          </cell>
          <cell r="H533">
            <v>3000</v>
          </cell>
          <cell r="I533">
            <v>1</v>
          </cell>
          <cell r="J533" t="str">
            <v>АК АПИБ "Агроинвестбанк"</v>
          </cell>
          <cell r="K533">
            <v>105000</v>
          </cell>
          <cell r="L533">
            <v>3000</v>
          </cell>
          <cell r="M533">
            <v>1</v>
          </cell>
          <cell r="N533">
            <v>105000</v>
          </cell>
        </row>
        <row r="534">
          <cell r="A534">
            <v>2003</v>
          </cell>
          <cell r="B534">
            <v>4</v>
          </cell>
          <cell r="C534">
            <v>1</v>
          </cell>
          <cell r="D534">
            <v>62</v>
          </cell>
          <cell r="E534">
            <v>2</v>
          </cell>
          <cell r="F534" t="str">
            <v>TJS</v>
          </cell>
          <cell r="G534">
            <v>35</v>
          </cell>
          <cell r="H534">
            <v>5000</v>
          </cell>
          <cell r="I534">
            <v>2</v>
          </cell>
          <cell r="J534" t="str">
            <v>АК АПИБ "Агроинвестбанк"</v>
          </cell>
          <cell r="K534">
            <v>175000</v>
          </cell>
          <cell r="L534">
            <v>5000</v>
          </cell>
          <cell r="M534">
            <v>1</v>
          </cell>
          <cell r="N534">
            <v>175000</v>
          </cell>
        </row>
        <row r="535">
          <cell r="A535">
            <v>2003</v>
          </cell>
          <cell r="B535">
            <v>4</v>
          </cell>
          <cell r="C535">
            <v>1</v>
          </cell>
          <cell r="D535">
            <v>65</v>
          </cell>
          <cell r="E535">
            <v>2</v>
          </cell>
          <cell r="F535" t="str">
            <v>TJS</v>
          </cell>
          <cell r="G535">
            <v>35</v>
          </cell>
          <cell r="H535">
            <v>3000</v>
          </cell>
          <cell r="I535">
            <v>1</v>
          </cell>
          <cell r="J535" t="str">
            <v>АК АПИБ "Агроинвестбанк"</v>
          </cell>
          <cell r="K535">
            <v>105000</v>
          </cell>
          <cell r="L535">
            <v>3000</v>
          </cell>
          <cell r="M535">
            <v>1</v>
          </cell>
          <cell r="N535">
            <v>105000</v>
          </cell>
        </row>
        <row r="536">
          <cell r="A536">
            <v>2003</v>
          </cell>
          <cell r="B536">
            <v>4</v>
          </cell>
          <cell r="C536">
            <v>1</v>
          </cell>
          <cell r="D536">
            <v>92</v>
          </cell>
          <cell r="E536">
            <v>2</v>
          </cell>
          <cell r="F536" t="str">
            <v>TJS</v>
          </cell>
          <cell r="G536">
            <v>30</v>
          </cell>
          <cell r="H536">
            <v>2250</v>
          </cell>
          <cell r="I536">
            <v>1</v>
          </cell>
          <cell r="J536" t="str">
            <v>АК АПИБ "Агроинвестбанк"</v>
          </cell>
          <cell r="K536">
            <v>67500</v>
          </cell>
          <cell r="L536">
            <v>2250</v>
          </cell>
          <cell r="M536">
            <v>1</v>
          </cell>
          <cell r="N536">
            <v>67500</v>
          </cell>
        </row>
        <row r="537">
          <cell r="A537">
            <v>2003</v>
          </cell>
          <cell r="B537">
            <v>4</v>
          </cell>
          <cell r="C537">
            <v>1</v>
          </cell>
          <cell r="D537">
            <v>92</v>
          </cell>
          <cell r="E537">
            <v>2</v>
          </cell>
          <cell r="F537" t="str">
            <v>TJS</v>
          </cell>
          <cell r="G537">
            <v>32</v>
          </cell>
          <cell r="H537">
            <v>3000</v>
          </cell>
          <cell r="I537">
            <v>2</v>
          </cell>
          <cell r="J537" t="str">
            <v>АК АПИБ "Агроинвестбанк"</v>
          </cell>
          <cell r="K537">
            <v>96000</v>
          </cell>
          <cell r="L537">
            <v>3000</v>
          </cell>
          <cell r="M537">
            <v>1</v>
          </cell>
          <cell r="N537">
            <v>96000</v>
          </cell>
        </row>
        <row r="538">
          <cell r="A538">
            <v>2003</v>
          </cell>
          <cell r="B538">
            <v>4</v>
          </cell>
          <cell r="C538">
            <v>1</v>
          </cell>
          <cell r="D538">
            <v>92</v>
          </cell>
          <cell r="E538">
            <v>1</v>
          </cell>
          <cell r="F538" t="str">
            <v>TJS</v>
          </cell>
          <cell r="G538">
            <v>45</v>
          </cell>
          <cell r="H538">
            <v>3000</v>
          </cell>
          <cell r="I538">
            <v>1</v>
          </cell>
          <cell r="J538" t="str">
            <v>АК АПИБ "Агроинвестбанк"</v>
          </cell>
          <cell r="K538">
            <v>135000</v>
          </cell>
          <cell r="L538">
            <v>3000</v>
          </cell>
          <cell r="M538">
            <v>1</v>
          </cell>
          <cell r="N538">
            <v>135000</v>
          </cell>
        </row>
        <row r="539">
          <cell r="A539">
            <v>2003</v>
          </cell>
          <cell r="B539">
            <v>4</v>
          </cell>
          <cell r="C539">
            <v>1</v>
          </cell>
          <cell r="D539">
            <v>91</v>
          </cell>
          <cell r="E539">
            <v>1</v>
          </cell>
          <cell r="F539" t="str">
            <v>TJS</v>
          </cell>
          <cell r="G539">
            <v>30</v>
          </cell>
          <cell r="H539">
            <v>3000</v>
          </cell>
          <cell r="I539">
            <v>1</v>
          </cell>
          <cell r="J539" t="str">
            <v>АК АПИБ "Агроинвестбанк"</v>
          </cell>
          <cell r="K539">
            <v>90000</v>
          </cell>
          <cell r="L539">
            <v>3000</v>
          </cell>
          <cell r="M539">
            <v>1</v>
          </cell>
          <cell r="N539">
            <v>90000</v>
          </cell>
        </row>
        <row r="540">
          <cell r="A540">
            <v>2003</v>
          </cell>
          <cell r="B540">
            <v>4</v>
          </cell>
          <cell r="C540">
            <v>1</v>
          </cell>
          <cell r="D540">
            <v>49</v>
          </cell>
          <cell r="E540">
            <v>2</v>
          </cell>
          <cell r="F540" t="str">
            <v>TJS</v>
          </cell>
          <cell r="G540">
            <v>45</v>
          </cell>
          <cell r="H540">
            <v>3000</v>
          </cell>
          <cell r="I540">
            <v>1</v>
          </cell>
          <cell r="J540" t="str">
            <v>АК АПИБ "Агроинвестбанк"</v>
          </cell>
          <cell r="K540">
            <v>135000</v>
          </cell>
          <cell r="L540">
            <v>3000</v>
          </cell>
          <cell r="M540">
            <v>1</v>
          </cell>
          <cell r="N540">
            <v>135000</v>
          </cell>
        </row>
        <row r="541">
          <cell r="A541">
            <v>2003</v>
          </cell>
          <cell r="B541">
            <v>4</v>
          </cell>
          <cell r="C541">
            <v>1</v>
          </cell>
          <cell r="D541">
            <v>86</v>
          </cell>
          <cell r="E541">
            <v>2</v>
          </cell>
          <cell r="F541" t="str">
            <v>TJS</v>
          </cell>
          <cell r="G541">
            <v>45</v>
          </cell>
          <cell r="H541">
            <v>3000</v>
          </cell>
          <cell r="I541">
            <v>1</v>
          </cell>
          <cell r="J541" t="str">
            <v>АК АПИБ "Агроинвестбанк"</v>
          </cell>
          <cell r="K541">
            <v>135000</v>
          </cell>
          <cell r="L541">
            <v>3000</v>
          </cell>
          <cell r="M541">
            <v>1</v>
          </cell>
          <cell r="N541">
            <v>135000</v>
          </cell>
        </row>
        <row r="542">
          <cell r="A542">
            <v>2003</v>
          </cell>
          <cell r="B542">
            <v>4</v>
          </cell>
          <cell r="C542">
            <v>1</v>
          </cell>
          <cell r="D542">
            <v>91</v>
          </cell>
          <cell r="E542">
            <v>2</v>
          </cell>
          <cell r="F542" t="str">
            <v>TJS</v>
          </cell>
          <cell r="G542">
            <v>45</v>
          </cell>
          <cell r="H542">
            <v>3000</v>
          </cell>
          <cell r="I542">
            <v>1</v>
          </cell>
          <cell r="J542" t="str">
            <v>АК АПИБ "Агроинвестбанк"</v>
          </cell>
          <cell r="K542">
            <v>135000</v>
          </cell>
          <cell r="L542">
            <v>3000</v>
          </cell>
          <cell r="M542">
            <v>1</v>
          </cell>
          <cell r="N542">
            <v>135000</v>
          </cell>
        </row>
        <row r="543">
          <cell r="A543">
            <v>2003</v>
          </cell>
          <cell r="B543">
            <v>4</v>
          </cell>
          <cell r="C543">
            <v>1</v>
          </cell>
          <cell r="D543">
            <v>56</v>
          </cell>
          <cell r="E543">
            <v>1</v>
          </cell>
          <cell r="F543" t="str">
            <v>TJS</v>
          </cell>
          <cell r="G543">
            <v>45</v>
          </cell>
          <cell r="H543">
            <v>300</v>
          </cell>
          <cell r="I543">
            <v>1</v>
          </cell>
          <cell r="J543" t="str">
            <v>АК АПИБ "Агроинвестбанк"</v>
          </cell>
          <cell r="K543">
            <v>13500</v>
          </cell>
          <cell r="L543">
            <v>300</v>
          </cell>
          <cell r="M543">
            <v>1</v>
          </cell>
          <cell r="N543">
            <v>13500</v>
          </cell>
        </row>
        <row r="544">
          <cell r="A544">
            <v>2003</v>
          </cell>
          <cell r="B544">
            <v>4</v>
          </cell>
          <cell r="C544">
            <v>1</v>
          </cell>
          <cell r="D544">
            <v>217</v>
          </cell>
          <cell r="E544">
            <v>1</v>
          </cell>
          <cell r="F544" t="str">
            <v>TJS</v>
          </cell>
          <cell r="G544">
            <v>30</v>
          </cell>
          <cell r="H544">
            <v>3000</v>
          </cell>
          <cell r="I544">
            <v>1</v>
          </cell>
          <cell r="J544" t="str">
            <v>АК АПИБ "Агроинвестбанк"</v>
          </cell>
          <cell r="K544">
            <v>90000</v>
          </cell>
          <cell r="L544">
            <v>3000</v>
          </cell>
          <cell r="M544">
            <v>1</v>
          </cell>
          <cell r="N544">
            <v>90000</v>
          </cell>
        </row>
        <row r="545">
          <cell r="A545">
            <v>2003</v>
          </cell>
          <cell r="B545">
            <v>4</v>
          </cell>
          <cell r="C545">
            <v>1</v>
          </cell>
          <cell r="D545">
            <v>154</v>
          </cell>
          <cell r="E545">
            <v>2</v>
          </cell>
          <cell r="F545" t="str">
            <v>TJS</v>
          </cell>
          <cell r="G545">
            <v>30</v>
          </cell>
          <cell r="H545">
            <v>3000</v>
          </cell>
          <cell r="I545">
            <v>1</v>
          </cell>
          <cell r="J545" t="str">
            <v>АК АПИБ "Агроинвестбанк"</v>
          </cell>
          <cell r="K545">
            <v>90000</v>
          </cell>
          <cell r="L545">
            <v>3000</v>
          </cell>
          <cell r="M545">
            <v>1</v>
          </cell>
          <cell r="N545">
            <v>90000</v>
          </cell>
        </row>
        <row r="546">
          <cell r="A546">
            <v>2003</v>
          </cell>
          <cell r="B546">
            <v>4</v>
          </cell>
          <cell r="C546">
            <v>1</v>
          </cell>
          <cell r="D546">
            <v>154</v>
          </cell>
          <cell r="E546">
            <v>2</v>
          </cell>
          <cell r="F546" t="str">
            <v>TJS</v>
          </cell>
          <cell r="G546">
            <v>45</v>
          </cell>
          <cell r="H546">
            <v>3000</v>
          </cell>
          <cell r="I546">
            <v>1</v>
          </cell>
          <cell r="J546" t="str">
            <v>АК АПИБ "Агроинвестбанк"</v>
          </cell>
          <cell r="K546">
            <v>135000</v>
          </cell>
          <cell r="L546">
            <v>3000</v>
          </cell>
          <cell r="M546">
            <v>1</v>
          </cell>
          <cell r="N546">
            <v>135000</v>
          </cell>
        </row>
        <row r="547">
          <cell r="A547">
            <v>2003</v>
          </cell>
          <cell r="B547">
            <v>4</v>
          </cell>
          <cell r="C547">
            <v>1</v>
          </cell>
          <cell r="D547">
            <v>184</v>
          </cell>
          <cell r="E547">
            <v>2</v>
          </cell>
          <cell r="F547" t="str">
            <v>TJS</v>
          </cell>
          <cell r="G547">
            <v>30</v>
          </cell>
          <cell r="H547">
            <v>3000</v>
          </cell>
          <cell r="I547">
            <v>1</v>
          </cell>
          <cell r="J547" t="str">
            <v>АК АПИБ "Агроинвестбанк"</v>
          </cell>
          <cell r="K547">
            <v>90000</v>
          </cell>
          <cell r="L547">
            <v>3000</v>
          </cell>
          <cell r="M547">
            <v>1</v>
          </cell>
          <cell r="N547">
            <v>90000</v>
          </cell>
        </row>
        <row r="548">
          <cell r="A548">
            <v>2003</v>
          </cell>
          <cell r="B548">
            <v>4</v>
          </cell>
          <cell r="C548">
            <v>1</v>
          </cell>
          <cell r="D548">
            <v>184</v>
          </cell>
          <cell r="E548">
            <v>2</v>
          </cell>
          <cell r="F548" t="str">
            <v>TJS</v>
          </cell>
          <cell r="G548">
            <v>32</v>
          </cell>
          <cell r="H548">
            <v>3000</v>
          </cell>
          <cell r="I548">
            <v>1</v>
          </cell>
          <cell r="J548" t="str">
            <v>АК АПИБ "Агроинвестбанк"</v>
          </cell>
          <cell r="K548">
            <v>96000</v>
          </cell>
          <cell r="L548">
            <v>3000</v>
          </cell>
          <cell r="M548">
            <v>1</v>
          </cell>
          <cell r="N548">
            <v>96000</v>
          </cell>
        </row>
        <row r="549">
          <cell r="A549">
            <v>2003</v>
          </cell>
          <cell r="B549">
            <v>4</v>
          </cell>
          <cell r="C549">
            <v>1</v>
          </cell>
          <cell r="D549">
            <v>184</v>
          </cell>
          <cell r="E549">
            <v>1</v>
          </cell>
          <cell r="F549" t="str">
            <v>TJS</v>
          </cell>
          <cell r="G549">
            <v>35</v>
          </cell>
          <cell r="H549">
            <v>9000</v>
          </cell>
          <cell r="I549">
            <v>3</v>
          </cell>
          <cell r="J549" t="str">
            <v>АК АПИБ "Агроинвестбанк"</v>
          </cell>
          <cell r="K549">
            <v>315000</v>
          </cell>
          <cell r="L549">
            <v>9000</v>
          </cell>
          <cell r="M549">
            <v>1</v>
          </cell>
          <cell r="N549">
            <v>315000</v>
          </cell>
        </row>
        <row r="550">
          <cell r="A550">
            <v>2003</v>
          </cell>
          <cell r="B550">
            <v>4</v>
          </cell>
          <cell r="C550">
            <v>1</v>
          </cell>
          <cell r="D550">
            <v>169</v>
          </cell>
          <cell r="E550">
            <v>1</v>
          </cell>
          <cell r="F550" t="str">
            <v>TJS</v>
          </cell>
          <cell r="G550">
            <v>35</v>
          </cell>
          <cell r="H550">
            <v>3000</v>
          </cell>
          <cell r="I550">
            <v>1</v>
          </cell>
          <cell r="J550" t="str">
            <v>АК АПИБ "Агроинвестбанк"</v>
          </cell>
          <cell r="K550">
            <v>105000</v>
          </cell>
          <cell r="L550">
            <v>3000</v>
          </cell>
          <cell r="M550">
            <v>1</v>
          </cell>
          <cell r="N550">
            <v>105000</v>
          </cell>
        </row>
        <row r="551">
          <cell r="A551">
            <v>2003</v>
          </cell>
          <cell r="B551">
            <v>4</v>
          </cell>
          <cell r="C551">
            <v>1</v>
          </cell>
          <cell r="D551">
            <v>184</v>
          </cell>
          <cell r="E551">
            <v>2</v>
          </cell>
          <cell r="F551" t="str">
            <v>TJS</v>
          </cell>
          <cell r="G551">
            <v>35</v>
          </cell>
          <cell r="H551">
            <v>12000</v>
          </cell>
          <cell r="I551">
            <v>8</v>
          </cell>
          <cell r="J551" t="str">
            <v>АК АПИБ "Агроинвестбанк"</v>
          </cell>
          <cell r="K551">
            <v>420000</v>
          </cell>
          <cell r="L551">
            <v>12000</v>
          </cell>
          <cell r="M551">
            <v>1</v>
          </cell>
          <cell r="N551">
            <v>420000</v>
          </cell>
        </row>
        <row r="552">
          <cell r="A552">
            <v>2003</v>
          </cell>
          <cell r="B552">
            <v>4</v>
          </cell>
          <cell r="C552">
            <v>1</v>
          </cell>
          <cell r="D552">
            <v>183</v>
          </cell>
          <cell r="E552">
            <v>1</v>
          </cell>
          <cell r="F552" t="str">
            <v>TJS</v>
          </cell>
          <cell r="G552">
            <v>36</v>
          </cell>
          <cell r="H552">
            <v>3000</v>
          </cell>
          <cell r="I552">
            <v>1</v>
          </cell>
          <cell r="J552" t="str">
            <v>АК АПИБ "Агроинвестбанк"</v>
          </cell>
          <cell r="K552">
            <v>108000</v>
          </cell>
          <cell r="L552">
            <v>3000</v>
          </cell>
          <cell r="M552">
            <v>1</v>
          </cell>
          <cell r="N552">
            <v>108000</v>
          </cell>
        </row>
        <row r="553">
          <cell r="A553">
            <v>2003</v>
          </cell>
          <cell r="B553">
            <v>4</v>
          </cell>
          <cell r="C553">
            <v>1</v>
          </cell>
          <cell r="D553">
            <v>180</v>
          </cell>
          <cell r="E553">
            <v>2</v>
          </cell>
          <cell r="F553" t="str">
            <v>TJS</v>
          </cell>
          <cell r="G553">
            <v>33</v>
          </cell>
          <cell r="H553">
            <v>2850</v>
          </cell>
          <cell r="I553">
            <v>1</v>
          </cell>
          <cell r="J553" t="str">
            <v>АК АПИБ "Агроинвестбанк"</v>
          </cell>
          <cell r="K553">
            <v>94050</v>
          </cell>
          <cell r="L553">
            <v>2850</v>
          </cell>
          <cell r="M553">
            <v>1</v>
          </cell>
          <cell r="N553">
            <v>94050</v>
          </cell>
        </row>
        <row r="554">
          <cell r="A554">
            <v>2003</v>
          </cell>
          <cell r="B554">
            <v>4</v>
          </cell>
          <cell r="C554">
            <v>1</v>
          </cell>
          <cell r="D554">
            <v>210</v>
          </cell>
          <cell r="E554">
            <v>2</v>
          </cell>
          <cell r="F554" t="str">
            <v>TJS</v>
          </cell>
          <cell r="G554">
            <v>26</v>
          </cell>
          <cell r="H554">
            <v>2000</v>
          </cell>
          <cell r="I554">
            <v>1</v>
          </cell>
          <cell r="J554" t="str">
            <v>АК АПИБ "Агроинвестбанк"</v>
          </cell>
          <cell r="K554">
            <v>52000</v>
          </cell>
          <cell r="L554">
            <v>2000</v>
          </cell>
          <cell r="M554">
            <v>1</v>
          </cell>
          <cell r="N554">
            <v>52000</v>
          </cell>
        </row>
        <row r="555">
          <cell r="A555">
            <v>2003</v>
          </cell>
          <cell r="B555">
            <v>4</v>
          </cell>
          <cell r="C555">
            <v>1</v>
          </cell>
          <cell r="D555">
            <v>230</v>
          </cell>
          <cell r="E555">
            <v>1</v>
          </cell>
          <cell r="F555" t="str">
            <v>TJS</v>
          </cell>
          <cell r="G555">
            <v>26</v>
          </cell>
          <cell r="H555">
            <v>3000</v>
          </cell>
          <cell r="I555">
            <v>1</v>
          </cell>
          <cell r="J555" t="str">
            <v>АК АПИБ "Агроинвестбанк"</v>
          </cell>
          <cell r="K555">
            <v>78000</v>
          </cell>
          <cell r="L555">
            <v>3000</v>
          </cell>
          <cell r="M555">
            <v>1</v>
          </cell>
          <cell r="N555">
            <v>78000</v>
          </cell>
        </row>
        <row r="556">
          <cell r="A556">
            <v>2003</v>
          </cell>
          <cell r="B556">
            <v>4</v>
          </cell>
          <cell r="C556">
            <v>1</v>
          </cell>
          <cell r="D556">
            <v>253</v>
          </cell>
          <cell r="E556">
            <v>2</v>
          </cell>
          <cell r="F556" t="str">
            <v>TJS</v>
          </cell>
          <cell r="G556">
            <v>18</v>
          </cell>
          <cell r="H556">
            <v>1200</v>
          </cell>
          <cell r="I556">
            <v>1</v>
          </cell>
          <cell r="J556" t="str">
            <v>АК АПИБ "Агроинвестбанк"</v>
          </cell>
          <cell r="K556">
            <v>21600</v>
          </cell>
          <cell r="L556">
            <v>1200</v>
          </cell>
          <cell r="M556">
            <v>1</v>
          </cell>
          <cell r="N556">
            <v>21600</v>
          </cell>
        </row>
        <row r="557">
          <cell r="A557">
            <v>2003</v>
          </cell>
          <cell r="B557">
            <v>4</v>
          </cell>
          <cell r="C557">
            <v>1</v>
          </cell>
          <cell r="D557">
            <v>274</v>
          </cell>
          <cell r="E557">
            <v>2</v>
          </cell>
          <cell r="F557" t="str">
            <v>TJS</v>
          </cell>
          <cell r="G557">
            <v>30</v>
          </cell>
          <cell r="H557">
            <v>3000</v>
          </cell>
          <cell r="I557">
            <v>1</v>
          </cell>
          <cell r="J557" t="str">
            <v>АК АПИБ "Агроинвестбанк"</v>
          </cell>
          <cell r="K557">
            <v>90000</v>
          </cell>
          <cell r="L557">
            <v>3000</v>
          </cell>
          <cell r="M557">
            <v>1</v>
          </cell>
          <cell r="N557">
            <v>90000</v>
          </cell>
        </row>
        <row r="558">
          <cell r="A558">
            <v>2003</v>
          </cell>
          <cell r="B558">
            <v>4</v>
          </cell>
          <cell r="C558">
            <v>1</v>
          </cell>
          <cell r="D558">
            <v>360</v>
          </cell>
          <cell r="E558">
            <v>2</v>
          </cell>
          <cell r="F558" t="str">
            <v>TJS</v>
          </cell>
          <cell r="G558">
            <v>30</v>
          </cell>
          <cell r="H558">
            <v>3000</v>
          </cell>
          <cell r="I558">
            <v>1</v>
          </cell>
          <cell r="J558" t="str">
            <v>АК АПИБ "Агроинвестбанк"</v>
          </cell>
          <cell r="K558">
            <v>90000</v>
          </cell>
          <cell r="L558">
            <v>3000</v>
          </cell>
          <cell r="M558">
            <v>1</v>
          </cell>
          <cell r="N558">
            <v>90000</v>
          </cell>
        </row>
        <row r="559">
          <cell r="A559">
            <v>2003</v>
          </cell>
          <cell r="B559">
            <v>4</v>
          </cell>
          <cell r="C559">
            <v>1</v>
          </cell>
          <cell r="D559">
            <v>242</v>
          </cell>
          <cell r="E559">
            <v>2</v>
          </cell>
          <cell r="F559" t="str">
            <v>TJS</v>
          </cell>
          <cell r="G559">
            <v>38</v>
          </cell>
          <cell r="H559">
            <v>1800</v>
          </cell>
          <cell r="I559">
            <v>1</v>
          </cell>
          <cell r="J559" t="str">
            <v>АК АПИБ "Агроинвестбанк"</v>
          </cell>
          <cell r="K559">
            <v>68400</v>
          </cell>
          <cell r="L559">
            <v>1800</v>
          </cell>
          <cell r="M559">
            <v>1</v>
          </cell>
          <cell r="N559">
            <v>68400</v>
          </cell>
        </row>
        <row r="560">
          <cell r="A560">
            <v>2003</v>
          </cell>
          <cell r="B560">
            <v>4</v>
          </cell>
          <cell r="C560">
            <v>4</v>
          </cell>
          <cell r="D560">
            <v>1185</v>
          </cell>
          <cell r="E560">
            <v>1</v>
          </cell>
          <cell r="F560" t="str">
            <v>TJS</v>
          </cell>
          <cell r="G560">
            <v>5</v>
          </cell>
          <cell r="H560">
            <v>21018</v>
          </cell>
          <cell r="I560">
            <v>2</v>
          </cell>
          <cell r="J560" t="str">
            <v>АК АПИБ "Агроинвестбанк"</v>
          </cell>
          <cell r="K560">
            <v>105090</v>
          </cell>
          <cell r="L560">
            <v>21018</v>
          </cell>
          <cell r="M560">
            <v>1</v>
          </cell>
          <cell r="N560">
            <v>105090</v>
          </cell>
        </row>
        <row r="561">
          <cell r="A561">
            <v>2003</v>
          </cell>
          <cell r="B561">
            <v>4</v>
          </cell>
          <cell r="C561">
            <v>3</v>
          </cell>
          <cell r="D561">
            <v>300</v>
          </cell>
          <cell r="E561">
            <v>1</v>
          </cell>
          <cell r="F561" t="str">
            <v>TJS</v>
          </cell>
          <cell r="G561">
            <v>50</v>
          </cell>
          <cell r="H561">
            <v>63500</v>
          </cell>
          <cell r="I561">
            <v>1</v>
          </cell>
          <cell r="J561" t="str">
            <v>АКБ "Эсхата"</v>
          </cell>
          <cell r="K561">
            <v>3175000</v>
          </cell>
          <cell r="L561">
            <v>63500</v>
          </cell>
          <cell r="M561">
            <v>1</v>
          </cell>
          <cell r="N561">
            <v>3175000</v>
          </cell>
        </row>
        <row r="562">
          <cell r="A562">
            <v>2003</v>
          </cell>
          <cell r="B562">
            <v>4</v>
          </cell>
          <cell r="C562">
            <v>3</v>
          </cell>
          <cell r="D562">
            <v>300</v>
          </cell>
          <cell r="E562">
            <v>1</v>
          </cell>
          <cell r="F562" t="str">
            <v>TJS</v>
          </cell>
          <cell r="G562">
            <v>36</v>
          </cell>
          <cell r="H562">
            <v>62000</v>
          </cell>
          <cell r="I562">
            <v>1</v>
          </cell>
          <cell r="J562" t="str">
            <v>АКБ "Эсхата"</v>
          </cell>
          <cell r="K562">
            <v>2232000</v>
          </cell>
          <cell r="L562">
            <v>62000</v>
          </cell>
          <cell r="M562">
            <v>1</v>
          </cell>
          <cell r="N562">
            <v>2232000</v>
          </cell>
        </row>
        <row r="563">
          <cell r="A563">
            <v>2003</v>
          </cell>
          <cell r="B563">
            <v>4</v>
          </cell>
          <cell r="C563">
            <v>1</v>
          </cell>
          <cell r="D563">
            <v>90</v>
          </cell>
          <cell r="E563">
            <v>1</v>
          </cell>
          <cell r="F563" t="str">
            <v>USD</v>
          </cell>
          <cell r="G563">
            <v>28</v>
          </cell>
          <cell r="H563">
            <v>148629</v>
          </cell>
          <cell r="I563">
            <v>1</v>
          </cell>
          <cell r="J563" t="str">
            <v>АКБ "Эсхата"</v>
          </cell>
          <cell r="K563">
            <v>4161612</v>
          </cell>
          <cell r="L563">
            <v>151073.55592105264</v>
          </cell>
          <cell r="M563">
            <v>1.0164473684210527</v>
          </cell>
          <cell r="N563">
            <v>4230059.565789474</v>
          </cell>
        </row>
        <row r="564">
          <cell r="A564">
            <v>2003</v>
          </cell>
          <cell r="B564">
            <v>4</v>
          </cell>
          <cell r="C564">
            <v>1</v>
          </cell>
          <cell r="D564">
            <v>90</v>
          </cell>
          <cell r="E564">
            <v>2</v>
          </cell>
          <cell r="F564" t="str">
            <v>USD</v>
          </cell>
          <cell r="G564">
            <v>30</v>
          </cell>
          <cell r="H564">
            <v>3090</v>
          </cell>
          <cell r="I564">
            <v>1</v>
          </cell>
          <cell r="J564" t="str">
            <v>АКБ "Эсхата"</v>
          </cell>
          <cell r="K564">
            <v>92700</v>
          </cell>
          <cell r="L564">
            <v>3140.8223684210525</v>
          </cell>
          <cell r="M564">
            <v>1.0164473684210527</v>
          </cell>
          <cell r="N564">
            <v>94224.67105263159</v>
          </cell>
        </row>
        <row r="565">
          <cell r="A565">
            <v>2003</v>
          </cell>
          <cell r="B565">
            <v>4</v>
          </cell>
          <cell r="C565">
            <v>1</v>
          </cell>
          <cell r="D565">
            <v>150</v>
          </cell>
          <cell r="E565">
            <v>2</v>
          </cell>
          <cell r="F565" t="str">
            <v>TJS</v>
          </cell>
          <cell r="G565">
            <v>36</v>
          </cell>
          <cell r="H565">
            <v>50000</v>
          </cell>
          <cell r="I565">
            <v>1</v>
          </cell>
          <cell r="J565" t="str">
            <v>АОЗТ"Кафолат"</v>
          </cell>
          <cell r="K565">
            <v>1800000</v>
          </cell>
          <cell r="L565">
            <v>50000</v>
          </cell>
          <cell r="M565">
            <v>1</v>
          </cell>
          <cell r="N565">
            <v>1800000</v>
          </cell>
        </row>
        <row r="566">
          <cell r="A566">
            <v>2003</v>
          </cell>
          <cell r="B566">
            <v>4</v>
          </cell>
          <cell r="C566">
            <v>3</v>
          </cell>
          <cell r="D566">
            <v>30</v>
          </cell>
          <cell r="E566">
            <v>1</v>
          </cell>
          <cell r="F566" t="str">
            <v>TJS</v>
          </cell>
          <cell r="G566">
            <v>12</v>
          </cell>
          <cell r="H566">
            <v>2000</v>
          </cell>
          <cell r="I566">
            <v>1</v>
          </cell>
          <cell r="J566" t="str">
            <v>АОЗТ"Кафолат"</v>
          </cell>
          <cell r="K566">
            <v>24000</v>
          </cell>
          <cell r="L566">
            <v>2000</v>
          </cell>
          <cell r="M566">
            <v>1</v>
          </cell>
          <cell r="N566">
            <v>24000</v>
          </cell>
        </row>
        <row r="567">
          <cell r="A567">
            <v>2003</v>
          </cell>
          <cell r="B567">
            <v>4</v>
          </cell>
          <cell r="C567">
            <v>3</v>
          </cell>
          <cell r="D567">
            <v>30</v>
          </cell>
          <cell r="E567">
            <v>1</v>
          </cell>
          <cell r="F567" t="str">
            <v>TJS</v>
          </cell>
          <cell r="G567">
            <v>12</v>
          </cell>
          <cell r="H567">
            <v>19000</v>
          </cell>
          <cell r="I567">
            <v>2</v>
          </cell>
          <cell r="J567" t="str">
            <v>АОЗТ"Кафолат"</v>
          </cell>
          <cell r="K567">
            <v>228000</v>
          </cell>
          <cell r="L567">
            <v>19000</v>
          </cell>
          <cell r="M567">
            <v>1</v>
          </cell>
          <cell r="N567">
            <v>228000</v>
          </cell>
        </row>
        <row r="568">
          <cell r="A568">
            <v>2003</v>
          </cell>
          <cell r="B568">
            <v>4</v>
          </cell>
          <cell r="C568">
            <v>1</v>
          </cell>
          <cell r="D568">
            <v>180</v>
          </cell>
          <cell r="E568">
            <v>2</v>
          </cell>
          <cell r="F568" t="str">
            <v>TJS</v>
          </cell>
          <cell r="G568">
            <v>36</v>
          </cell>
          <cell r="H568">
            <v>11800</v>
          </cell>
          <cell r="I568">
            <v>1</v>
          </cell>
          <cell r="J568" t="str">
            <v>АОЗТ"Кафолат"</v>
          </cell>
          <cell r="K568">
            <v>424800</v>
          </cell>
          <cell r="L568">
            <v>11800</v>
          </cell>
          <cell r="M568">
            <v>1</v>
          </cell>
          <cell r="N568">
            <v>424800</v>
          </cell>
        </row>
        <row r="569">
          <cell r="A569">
            <v>2003</v>
          </cell>
          <cell r="B569">
            <v>4</v>
          </cell>
          <cell r="C569">
            <v>3</v>
          </cell>
          <cell r="D569">
            <v>360</v>
          </cell>
          <cell r="E569">
            <v>1</v>
          </cell>
          <cell r="F569" t="str">
            <v>TJS</v>
          </cell>
          <cell r="G569">
            <v>12</v>
          </cell>
          <cell r="H569">
            <v>80500</v>
          </cell>
          <cell r="I569">
            <v>2</v>
          </cell>
          <cell r="J569" t="str">
            <v>АОЗТ"Кафолат"</v>
          </cell>
          <cell r="K569">
            <v>966000</v>
          </cell>
          <cell r="L569">
            <v>80500</v>
          </cell>
          <cell r="M569">
            <v>1</v>
          </cell>
          <cell r="N569">
            <v>966000</v>
          </cell>
        </row>
        <row r="570">
          <cell r="A570">
            <v>2003</v>
          </cell>
          <cell r="B570">
            <v>4</v>
          </cell>
          <cell r="C570">
            <v>1</v>
          </cell>
          <cell r="D570">
            <v>90</v>
          </cell>
          <cell r="E570">
            <v>2</v>
          </cell>
          <cell r="F570" t="str">
            <v>TJS</v>
          </cell>
          <cell r="G570">
            <v>36</v>
          </cell>
          <cell r="H570">
            <v>1500</v>
          </cell>
          <cell r="I570">
            <v>1</v>
          </cell>
          <cell r="J570" t="str">
            <v>АОЗТ"Кафолат"</v>
          </cell>
          <cell r="K570">
            <v>54000</v>
          </cell>
          <cell r="L570">
            <v>1500</v>
          </cell>
          <cell r="M570">
            <v>1</v>
          </cell>
          <cell r="N570">
            <v>54000</v>
          </cell>
        </row>
        <row r="571">
          <cell r="A571">
            <v>2003</v>
          </cell>
          <cell r="B571">
            <v>4</v>
          </cell>
          <cell r="C571">
            <v>1</v>
          </cell>
          <cell r="D571">
            <v>360</v>
          </cell>
          <cell r="E571">
            <v>1</v>
          </cell>
          <cell r="F571" t="str">
            <v>TJS</v>
          </cell>
          <cell r="G571">
            <v>12</v>
          </cell>
          <cell r="H571">
            <v>125305</v>
          </cell>
          <cell r="I571">
            <v>1</v>
          </cell>
          <cell r="J571" t="str">
            <v>АОЗТ"Кафолат"</v>
          </cell>
          <cell r="K571">
            <v>1503660</v>
          </cell>
          <cell r="L571">
            <v>125305</v>
          </cell>
          <cell r="M571">
            <v>1</v>
          </cell>
          <cell r="N571">
            <v>1503660</v>
          </cell>
        </row>
        <row r="572">
          <cell r="A572">
            <v>2003</v>
          </cell>
          <cell r="B572">
            <v>4</v>
          </cell>
          <cell r="C572">
            <v>1</v>
          </cell>
          <cell r="D572">
            <v>180</v>
          </cell>
          <cell r="E572">
            <v>2</v>
          </cell>
          <cell r="F572" t="str">
            <v>TJS</v>
          </cell>
          <cell r="G572">
            <v>32</v>
          </cell>
          <cell r="H572">
            <v>1500</v>
          </cell>
          <cell r="I572">
            <v>1</v>
          </cell>
          <cell r="J572" t="str">
            <v>АОЗТ"Кафолат"</v>
          </cell>
          <cell r="K572">
            <v>48000</v>
          </cell>
          <cell r="L572">
            <v>1500</v>
          </cell>
          <cell r="M572">
            <v>1</v>
          </cell>
          <cell r="N572">
            <v>48000</v>
          </cell>
        </row>
        <row r="573">
          <cell r="A573">
            <v>2003</v>
          </cell>
          <cell r="B573">
            <v>4</v>
          </cell>
          <cell r="C573">
            <v>3</v>
          </cell>
          <cell r="D573">
            <v>480</v>
          </cell>
          <cell r="E573">
            <v>1</v>
          </cell>
          <cell r="F573" t="str">
            <v>TJS</v>
          </cell>
          <cell r="G573">
            <v>12</v>
          </cell>
          <cell r="H573">
            <v>145307</v>
          </cell>
          <cell r="I573">
            <v>2</v>
          </cell>
          <cell r="J573" t="str">
            <v>АОЗТ"Кафолат"</v>
          </cell>
          <cell r="K573">
            <v>1743684</v>
          </cell>
          <cell r="L573">
            <v>145307</v>
          </cell>
          <cell r="M573">
            <v>1</v>
          </cell>
          <cell r="N573">
            <v>1743684</v>
          </cell>
        </row>
        <row r="574">
          <cell r="A574">
            <v>2003</v>
          </cell>
          <cell r="B574">
            <v>4</v>
          </cell>
          <cell r="C574">
            <v>1</v>
          </cell>
          <cell r="D574">
            <v>90</v>
          </cell>
          <cell r="E574">
            <v>1</v>
          </cell>
          <cell r="F574" t="str">
            <v>TJS</v>
          </cell>
          <cell r="G574">
            <v>30</v>
          </cell>
          <cell r="H574">
            <v>25000</v>
          </cell>
          <cell r="I574">
            <v>1</v>
          </cell>
          <cell r="J574" t="str">
            <v>АОЗТ"Кафолат"</v>
          </cell>
          <cell r="K574">
            <v>750000</v>
          </cell>
          <cell r="L574">
            <v>25000</v>
          </cell>
          <cell r="M574">
            <v>1</v>
          </cell>
          <cell r="N574">
            <v>750000</v>
          </cell>
        </row>
        <row r="575">
          <cell r="A575">
            <v>2003</v>
          </cell>
          <cell r="B575">
            <v>4</v>
          </cell>
          <cell r="C575">
            <v>1</v>
          </cell>
          <cell r="D575">
            <v>90</v>
          </cell>
          <cell r="E575">
            <v>1</v>
          </cell>
          <cell r="F575" t="str">
            <v>TJS</v>
          </cell>
          <cell r="G575">
            <v>36</v>
          </cell>
          <cell r="H575">
            <v>16000</v>
          </cell>
          <cell r="I575">
            <v>1</v>
          </cell>
          <cell r="J575" t="str">
            <v>АОЗТ"Кафолат"</v>
          </cell>
          <cell r="K575">
            <v>576000</v>
          </cell>
          <cell r="L575">
            <v>16000</v>
          </cell>
          <cell r="M575">
            <v>1</v>
          </cell>
          <cell r="N575">
            <v>576000</v>
          </cell>
        </row>
        <row r="576">
          <cell r="A576">
            <v>2003</v>
          </cell>
          <cell r="B576">
            <v>4</v>
          </cell>
          <cell r="C576">
            <v>1</v>
          </cell>
          <cell r="D576">
            <v>261</v>
          </cell>
          <cell r="E576">
            <v>1</v>
          </cell>
          <cell r="F576" t="str">
            <v>TJS</v>
          </cell>
          <cell r="G576">
            <v>24</v>
          </cell>
          <cell r="H576">
            <v>38200</v>
          </cell>
          <cell r="I576">
            <v>1</v>
          </cell>
          <cell r="J576" t="str">
            <v>АОЗТ"Кафолат"</v>
          </cell>
          <cell r="K576">
            <v>916800</v>
          </cell>
          <cell r="L576">
            <v>38200</v>
          </cell>
          <cell r="M576">
            <v>1</v>
          </cell>
          <cell r="N576">
            <v>916800</v>
          </cell>
        </row>
        <row r="577">
          <cell r="A577">
            <v>2003</v>
          </cell>
          <cell r="B577">
            <v>4</v>
          </cell>
          <cell r="C577">
            <v>1</v>
          </cell>
          <cell r="D577">
            <v>180</v>
          </cell>
          <cell r="E577">
            <v>2</v>
          </cell>
          <cell r="F577" t="str">
            <v>USD</v>
          </cell>
          <cell r="G577">
            <v>36</v>
          </cell>
          <cell r="H577">
            <v>68753</v>
          </cell>
          <cell r="I577">
            <v>7</v>
          </cell>
          <cell r="J577" t="str">
            <v>АОЗТ"Кафолат"</v>
          </cell>
          <cell r="K577">
            <v>2475108</v>
          </cell>
          <cell r="L577">
            <v>69883.80592105263</v>
          </cell>
          <cell r="M577">
            <v>1.0164473684210527</v>
          </cell>
          <cell r="N577">
            <v>2515817.013157895</v>
          </cell>
        </row>
        <row r="578">
          <cell r="A578">
            <v>2003</v>
          </cell>
          <cell r="B578">
            <v>4</v>
          </cell>
          <cell r="C578">
            <v>1</v>
          </cell>
          <cell r="D578">
            <v>180</v>
          </cell>
          <cell r="E578">
            <v>2</v>
          </cell>
          <cell r="F578" t="str">
            <v>USD</v>
          </cell>
          <cell r="G578">
            <v>40</v>
          </cell>
          <cell r="H578">
            <v>3090</v>
          </cell>
          <cell r="I578">
            <v>1</v>
          </cell>
          <cell r="J578" t="str">
            <v>АОЗТ"Кафолат"</v>
          </cell>
          <cell r="K578">
            <v>123600</v>
          </cell>
          <cell r="L578">
            <v>3140.8223684210525</v>
          </cell>
          <cell r="M578">
            <v>1.0164473684210527</v>
          </cell>
          <cell r="N578">
            <v>125632.8947368421</v>
          </cell>
        </row>
        <row r="579">
          <cell r="A579">
            <v>2003</v>
          </cell>
          <cell r="B579">
            <v>4</v>
          </cell>
          <cell r="C579">
            <v>1</v>
          </cell>
          <cell r="D579">
            <v>120</v>
          </cell>
          <cell r="E579">
            <v>2</v>
          </cell>
          <cell r="F579" t="str">
            <v>USD</v>
          </cell>
          <cell r="G579">
            <v>36</v>
          </cell>
          <cell r="H579">
            <v>927</v>
          </cell>
          <cell r="I579">
            <v>1</v>
          </cell>
          <cell r="J579" t="str">
            <v>АОЗТ"Кафолат"</v>
          </cell>
          <cell r="K579">
            <v>33372</v>
          </cell>
          <cell r="L579">
            <v>942.2467105263158</v>
          </cell>
          <cell r="M579">
            <v>1.0164473684210527</v>
          </cell>
          <cell r="N579">
            <v>33920.88157894737</v>
          </cell>
        </row>
        <row r="580">
          <cell r="A580">
            <v>2003</v>
          </cell>
          <cell r="B580">
            <v>4</v>
          </cell>
          <cell r="C580">
            <v>1</v>
          </cell>
          <cell r="D580">
            <v>90</v>
          </cell>
          <cell r="E580">
            <v>2</v>
          </cell>
          <cell r="F580" t="str">
            <v>USD</v>
          </cell>
          <cell r="G580">
            <v>30</v>
          </cell>
          <cell r="H580">
            <v>8343</v>
          </cell>
          <cell r="I580">
            <v>1</v>
          </cell>
          <cell r="J580" t="str">
            <v>АОЗТ"Кафолат"</v>
          </cell>
          <cell r="K580">
            <v>250290</v>
          </cell>
          <cell r="L580">
            <v>8480.220394736842</v>
          </cell>
          <cell r="M580">
            <v>1.0164473684210527</v>
          </cell>
          <cell r="N580">
            <v>254406.61184210528</v>
          </cell>
        </row>
        <row r="581">
          <cell r="A581">
            <v>2003</v>
          </cell>
          <cell r="B581">
            <v>4</v>
          </cell>
          <cell r="C581">
            <v>1</v>
          </cell>
          <cell r="D581">
            <v>90</v>
          </cell>
          <cell r="E581">
            <v>2</v>
          </cell>
          <cell r="F581" t="str">
            <v>USD</v>
          </cell>
          <cell r="G581">
            <v>36</v>
          </cell>
          <cell r="H581">
            <v>7416</v>
          </cell>
          <cell r="I581">
            <v>3</v>
          </cell>
          <cell r="J581" t="str">
            <v>АОЗТ"Кафолат"</v>
          </cell>
          <cell r="K581">
            <v>266976</v>
          </cell>
          <cell r="L581">
            <v>7537.973684210527</v>
          </cell>
          <cell r="M581">
            <v>1.0164473684210527</v>
          </cell>
          <cell r="N581">
            <v>271367.05263157893</v>
          </cell>
        </row>
        <row r="582">
          <cell r="A582">
            <v>2003</v>
          </cell>
          <cell r="B582">
            <v>4</v>
          </cell>
          <cell r="C582">
            <v>1</v>
          </cell>
          <cell r="D582">
            <v>60</v>
          </cell>
          <cell r="E582">
            <v>2</v>
          </cell>
          <cell r="F582" t="str">
            <v>USD</v>
          </cell>
          <cell r="G582">
            <v>36</v>
          </cell>
          <cell r="H582">
            <v>15450</v>
          </cell>
          <cell r="I582">
            <v>1</v>
          </cell>
          <cell r="J582" t="str">
            <v>АОЗТ"Кафолат"</v>
          </cell>
          <cell r="K582">
            <v>556200</v>
          </cell>
          <cell r="L582">
            <v>15704.111842105263</v>
          </cell>
          <cell r="M582">
            <v>1.0164473684210527</v>
          </cell>
          <cell r="N582">
            <v>565348.0263157894</v>
          </cell>
        </row>
        <row r="583">
          <cell r="A583">
            <v>2003</v>
          </cell>
          <cell r="B583">
            <v>4</v>
          </cell>
          <cell r="C583">
            <v>1</v>
          </cell>
          <cell r="D583">
            <v>150</v>
          </cell>
          <cell r="E583">
            <v>2</v>
          </cell>
          <cell r="F583" t="str">
            <v>USD</v>
          </cell>
          <cell r="G583">
            <v>60</v>
          </cell>
          <cell r="H583">
            <v>6180</v>
          </cell>
          <cell r="I583">
            <v>1</v>
          </cell>
          <cell r="J583" t="str">
            <v>АОЗТ"Кафолат"</v>
          </cell>
          <cell r="K583">
            <v>370800</v>
          </cell>
          <cell r="L583">
            <v>6281.644736842105</v>
          </cell>
          <cell r="M583">
            <v>1.0164473684210527</v>
          </cell>
          <cell r="N583">
            <v>376898.68421052635</v>
          </cell>
        </row>
        <row r="584">
          <cell r="A584">
            <v>2003</v>
          </cell>
          <cell r="B584">
            <v>4</v>
          </cell>
          <cell r="C584">
            <v>1</v>
          </cell>
          <cell r="D584">
            <v>360</v>
          </cell>
          <cell r="E584">
            <v>2</v>
          </cell>
          <cell r="F584" t="str">
            <v>TJS</v>
          </cell>
          <cell r="G584">
            <v>24</v>
          </cell>
          <cell r="H584">
            <v>329000</v>
          </cell>
          <cell r="I584">
            <v>2</v>
          </cell>
          <cell r="J584" t="str">
            <v>АОЗТ "Олимп"</v>
          </cell>
          <cell r="K584">
            <v>7896000</v>
          </cell>
          <cell r="L584">
            <v>329000</v>
          </cell>
          <cell r="M584">
            <v>1</v>
          </cell>
          <cell r="N584">
            <v>7896000</v>
          </cell>
        </row>
        <row r="585">
          <cell r="A585">
            <v>2003</v>
          </cell>
          <cell r="B585">
            <v>4</v>
          </cell>
          <cell r="C585">
            <v>1</v>
          </cell>
          <cell r="D585">
            <v>360</v>
          </cell>
          <cell r="E585">
            <v>2</v>
          </cell>
          <cell r="F585" t="str">
            <v>TJS</v>
          </cell>
          <cell r="G585">
            <v>20</v>
          </cell>
          <cell r="H585">
            <v>78000</v>
          </cell>
          <cell r="I585">
            <v>1</v>
          </cell>
          <cell r="J585" t="str">
            <v>АОЗТ "Олимп"</v>
          </cell>
          <cell r="K585">
            <v>1560000</v>
          </cell>
          <cell r="L585">
            <v>78000</v>
          </cell>
          <cell r="M585">
            <v>1</v>
          </cell>
          <cell r="N585">
            <v>1560000</v>
          </cell>
        </row>
        <row r="586">
          <cell r="A586">
            <v>2003</v>
          </cell>
          <cell r="B586">
            <v>4</v>
          </cell>
          <cell r="C586">
            <v>1</v>
          </cell>
          <cell r="D586">
            <v>360</v>
          </cell>
          <cell r="E586">
            <v>2</v>
          </cell>
          <cell r="F586" t="str">
            <v>USD</v>
          </cell>
          <cell r="G586">
            <v>30</v>
          </cell>
          <cell r="H586">
            <v>30900</v>
          </cell>
          <cell r="I586">
            <v>1</v>
          </cell>
          <cell r="J586" t="str">
            <v>АОЗТ "Олимп"</v>
          </cell>
          <cell r="K586">
            <v>927000</v>
          </cell>
          <cell r="L586">
            <v>31408.223684210527</v>
          </cell>
          <cell r="M586">
            <v>1.0164473684210527</v>
          </cell>
          <cell r="N586">
            <v>942246.7105263158</v>
          </cell>
        </row>
        <row r="587">
          <cell r="A587">
            <v>2003</v>
          </cell>
          <cell r="B587">
            <v>4</v>
          </cell>
          <cell r="C587">
            <v>1</v>
          </cell>
          <cell r="D587">
            <v>180</v>
          </cell>
          <cell r="E587">
            <v>2</v>
          </cell>
          <cell r="F587" t="str">
            <v>USD</v>
          </cell>
          <cell r="G587">
            <v>30</v>
          </cell>
          <cell r="H587">
            <v>20533</v>
          </cell>
          <cell r="I587">
            <v>2</v>
          </cell>
          <cell r="J587" t="str">
            <v>АОЗТ "Олимп"</v>
          </cell>
          <cell r="K587">
            <v>615990</v>
          </cell>
          <cell r="L587">
            <v>20870.713815789473</v>
          </cell>
          <cell r="M587">
            <v>1.0164473684210527</v>
          </cell>
          <cell r="N587">
            <v>626121.4144736843</v>
          </cell>
        </row>
        <row r="588">
          <cell r="A588">
            <v>2003</v>
          </cell>
          <cell r="B588">
            <v>4</v>
          </cell>
          <cell r="C588">
            <v>1</v>
          </cell>
          <cell r="D588">
            <v>180</v>
          </cell>
          <cell r="E588">
            <v>2</v>
          </cell>
          <cell r="F588" t="str">
            <v>USD</v>
          </cell>
          <cell r="G588">
            <v>36</v>
          </cell>
          <cell r="H588">
            <v>9270</v>
          </cell>
          <cell r="I588">
            <v>1</v>
          </cell>
          <cell r="J588" t="str">
            <v>АОЗТ "Олимп"</v>
          </cell>
          <cell r="K588">
            <v>333720</v>
          </cell>
          <cell r="L588">
            <v>9422.467105263158</v>
          </cell>
          <cell r="M588">
            <v>1.0164473684210527</v>
          </cell>
          <cell r="N588">
            <v>339208.8157894737</v>
          </cell>
        </row>
        <row r="589">
          <cell r="A589">
            <v>2003</v>
          </cell>
          <cell r="B589">
            <v>4</v>
          </cell>
          <cell r="C589">
            <v>1</v>
          </cell>
          <cell r="D589">
            <v>30</v>
          </cell>
          <cell r="E589">
            <v>1</v>
          </cell>
          <cell r="F589" t="str">
            <v>TJS</v>
          </cell>
          <cell r="G589">
            <v>30</v>
          </cell>
          <cell r="H589">
            <v>65000</v>
          </cell>
          <cell r="I589">
            <v>1</v>
          </cell>
          <cell r="J589" t="str">
            <v>ГАКБ "Точиксодиротбонк"</v>
          </cell>
          <cell r="K589">
            <v>1950000</v>
          </cell>
          <cell r="L589">
            <v>65000</v>
          </cell>
          <cell r="M589">
            <v>1</v>
          </cell>
          <cell r="N589">
            <v>1950000</v>
          </cell>
        </row>
        <row r="590">
          <cell r="A590">
            <v>2003</v>
          </cell>
          <cell r="B590">
            <v>4</v>
          </cell>
          <cell r="C590">
            <v>1</v>
          </cell>
          <cell r="D590">
            <v>200</v>
          </cell>
          <cell r="E590">
            <v>1</v>
          </cell>
          <cell r="F590" t="str">
            <v>TJS</v>
          </cell>
          <cell r="G590">
            <v>25</v>
          </cell>
          <cell r="H590">
            <v>45000</v>
          </cell>
          <cell r="I590">
            <v>1</v>
          </cell>
          <cell r="J590" t="str">
            <v>ГАКБ "Точиксодиротбонк"</v>
          </cell>
          <cell r="K590">
            <v>1125000</v>
          </cell>
          <cell r="L590">
            <v>45000</v>
          </cell>
          <cell r="M590">
            <v>1</v>
          </cell>
          <cell r="N590">
            <v>1125000</v>
          </cell>
        </row>
        <row r="591">
          <cell r="A591">
            <v>2003</v>
          </cell>
          <cell r="B591">
            <v>4</v>
          </cell>
          <cell r="C591">
            <v>1</v>
          </cell>
          <cell r="D591">
            <v>30</v>
          </cell>
          <cell r="E591">
            <v>1</v>
          </cell>
          <cell r="F591" t="str">
            <v>TJS</v>
          </cell>
          <cell r="G591">
            <v>30</v>
          </cell>
          <cell r="H591">
            <v>260000</v>
          </cell>
          <cell r="I591">
            <v>1</v>
          </cell>
          <cell r="J591" t="str">
            <v>ГАКБ "Точиксодиротбонк"</v>
          </cell>
          <cell r="K591">
            <v>7800000</v>
          </cell>
          <cell r="L591">
            <v>260000</v>
          </cell>
          <cell r="M591">
            <v>1</v>
          </cell>
          <cell r="N591">
            <v>7800000</v>
          </cell>
        </row>
        <row r="592">
          <cell r="A592">
            <v>2003</v>
          </cell>
          <cell r="B592">
            <v>4</v>
          </cell>
          <cell r="C592">
            <v>2</v>
          </cell>
          <cell r="D592">
            <v>360</v>
          </cell>
          <cell r="E592">
            <v>1</v>
          </cell>
          <cell r="F592" t="str">
            <v>TJS</v>
          </cell>
          <cell r="G592">
            <v>18</v>
          </cell>
          <cell r="H592">
            <v>341926</v>
          </cell>
          <cell r="I592">
            <v>7</v>
          </cell>
          <cell r="J592" t="str">
            <v>ГАКБ "Точиксодиротбонк"</v>
          </cell>
          <cell r="K592">
            <v>6154668</v>
          </cell>
          <cell r="L592">
            <v>341926</v>
          </cell>
          <cell r="M592">
            <v>1</v>
          </cell>
          <cell r="N592">
            <v>6154668</v>
          </cell>
        </row>
        <row r="593">
          <cell r="A593">
            <v>2003</v>
          </cell>
          <cell r="B593">
            <v>4</v>
          </cell>
          <cell r="C593">
            <v>2</v>
          </cell>
          <cell r="D593">
            <v>360</v>
          </cell>
          <cell r="E593">
            <v>1</v>
          </cell>
          <cell r="F593" t="str">
            <v>TJS</v>
          </cell>
          <cell r="G593">
            <v>25</v>
          </cell>
          <cell r="H593">
            <v>366000</v>
          </cell>
          <cell r="I593">
            <v>1</v>
          </cell>
          <cell r="J593" t="str">
            <v>ГАКБ "Точиксодиротбонк"</v>
          </cell>
          <cell r="K593">
            <v>9150000</v>
          </cell>
          <cell r="L593">
            <v>366000</v>
          </cell>
          <cell r="M593">
            <v>1</v>
          </cell>
          <cell r="N593">
            <v>9150000</v>
          </cell>
        </row>
        <row r="594">
          <cell r="A594">
            <v>2003</v>
          </cell>
          <cell r="B594">
            <v>4</v>
          </cell>
          <cell r="C594">
            <v>2</v>
          </cell>
          <cell r="D594">
            <v>360</v>
          </cell>
          <cell r="E594">
            <v>1</v>
          </cell>
          <cell r="F594" t="str">
            <v>TJS</v>
          </cell>
          <cell r="G594">
            <v>24</v>
          </cell>
          <cell r="H594">
            <v>410000</v>
          </cell>
          <cell r="I594">
            <v>1</v>
          </cell>
          <cell r="J594" t="str">
            <v>ГАКБ "Точиксодиротбонк"</v>
          </cell>
          <cell r="K594">
            <v>9840000</v>
          </cell>
          <cell r="L594">
            <v>410000</v>
          </cell>
          <cell r="M594">
            <v>1</v>
          </cell>
          <cell r="N594">
            <v>9840000</v>
          </cell>
        </row>
        <row r="595">
          <cell r="A595">
            <v>2003</v>
          </cell>
          <cell r="B595">
            <v>4</v>
          </cell>
          <cell r="C595">
            <v>2</v>
          </cell>
          <cell r="D595">
            <v>360</v>
          </cell>
          <cell r="E595">
            <v>1</v>
          </cell>
          <cell r="F595" t="str">
            <v>TJS</v>
          </cell>
          <cell r="G595">
            <v>22</v>
          </cell>
          <cell r="H595">
            <v>857000</v>
          </cell>
          <cell r="I595">
            <v>2</v>
          </cell>
          <cell r="J595" t="str">
            <v>ГАКБ "Точиксодиротбонк"</v>
          </cell>
          <cell r="K595">
            <v>18854000</v>
          </cell>
          <cell r="L595">
            <v>857000</v>
          </cell>
          <cell r="M595">
            <v>1</v>
          </cell>
          <cell r="N595">
            <v>18854000</v>
          </cell>
        </row>
        <row r="596">
          <cell r="A596">
            <v>2003</v>
          </cell>
          <cell r="B596">
            <v>4</v>
          </cell>
          <cell r="C596">
            <v>2</v>
          </cell>
          <cell r="D596">
            <v>360</v>
          </cell>
          <cell r="E596">
            <v>1</v>
          </cell>
          <cell r="F596" t="str">
            <v>TJS</v>
          </cell>
          <cell r="G596">
            <v>20</v>
          </cell>
          <cell r="H596">
            <v>60000</v>
          </cell>
          <cell r="I596">
            <v>1</v>
          </cell>
          <cell r="J596" t="str">
            <v>ГАКБ "Точиксодиротбонк"</v>
          </cell>
          <cell r="K596">
            <v>1200000</v>
          </cell>
          <cell r="L596">
            <v>60000</v>
          </cell>
          <cell r="M596">
            <v>1</v>
          </cell>
          <cell r="N596">
            <v>1200000</v>
          </cell>
        </row>
        <row r="597">
          <cell r="A597">
            <v>2003</v>
          </cell>
          <cell r="B597">
            <v>4</v>
          </cell>
          <cell r="C597">
            <v>1</v>
          </cell>
          <cell r="D597">
            <v>360</v>
          </cell>
          <cell r="E597">
            <v>2</v>
          </cell>
          <cell r="F597" t="str">
            <v>TJS</v>
          </cell>
          <cell r="G597">
            <v>12</v>
          </cell>
          <cell r="H597">
            <v>1540</v>
          </cell>
          <cell r="I597">
            <v>1</v>
          </cell>
          <cell r="J597" t="str">
            <v>ГАКБ "Точиксодиротбонк"</v>
          </cell>
          <cell r="K597">
            <v>18480</v>
          </cell>
          <cell r="L597">
            <v>1540</v>
          </cell>
          <cell r="M597">
            <v>1</v>
          </cell>
          <cell r="N597">
            <v>18480</v>
          </cell>
        </row>
        <row r="598">
          <cell r="A598">
            <v>2003</v>
          </cell>
          <cell r="B598">
            <v>4</v>
          </cell>
          <cell r="C598">
            <v>1</v>
          </cell>
          <cell r="D598">
            <v>180</v>
          </cell>
          <cell r="E598">
            <v>2</v>
          </cell>
          <cell r="F598" t="str">
            <v>TJS</v>
          </cell>
          <cell r="G598">
            <v>36</v>
          </cell>
          <cell r="H598">
            <v>25000</v>
          </cell>
          <cell r="I598">
            <v>1</v>
          </cell>
          <cell r="J598" t="str">
            <v>ГАКБ "Точиксодиротбонк"</v>
          </cell>
          <cell r="K598">
            <v>900000</v>
          </cell>
          <cell r="L598">
            <v>25000</v>
          </cell>
          <cell r="M598">
            <v>1</v>
          </cell>
          <cell r="N598">
            <v>900000</v>
          </cell>
        </row>
        <row r="599">
          <cell r="A599">
            <v>2003</v>
          </cell>
          <cell r="B599">
            <v>4</v>
          </cell>
          <cell r="C599">
            <v>1</v>
          </cell>
          <cell r="D599">
            <v>360</v>
          </cell>
          <cell r="E599">
            <v>0</v>
          </cell>
          <cell r="F599" t="str">
            <v>USD</v>
          </cell>
          <cell r="G599">
            <v>20</v>
          </cell>
          <cell r="H599">
            <v>618000</v>
          </cell>
          <cell r="I599">
            <v>1</v>
          </cell>
          <cell r="J599" t="str">
            <v>ГАКБ "Точиксодиротбонк"</v>
          </cell>
          <cell r="K599">
            <v>12360000</v>
          </cell>
          <cell r="L599">
            <v>628164.4736842106</v>
          </cell>
          <cell r="M599">
            <v>1.0164473684210527</v>
          </cell>
          <cell r="N599">
            <v>12563289.47368421</v>
          </cell>
        </row>
        <row r="600">
          <cell r="A600">
            <v>2003</v>
          </cell>
          <cell r="B600">
            <v>4</v>
          </cell>
          <cell r="C600">
            <v>3</v>
          </cell>
          <cell r="D600">
            <v>360</v>
          </cell>
          <cell r="E600">
            <v>1</v>
          </cell>
          <cell r="F600" t="str">
            <v>USD</v>
          </cell>
          <cell r="G600">
            <v>25</v>
          </cell>
          <cell r="H600">
            <v>83430</v>
          </cell>
          <cell r="I600">
            <v>1</v>
          </cell>
          <cell r="J600" t="str">
            <v>ГАКБ "Точиксодиротбонк"</v>
          </cell>
          <cell r="K600">
            <v>2085750</v>
          </cell>
          <cell r="L600">
            <v>84802.20394736843</v>
          </cell>
          <cell r="M600">
            <v>1.0164473684210527</v>
          </cell>
          <cell r="N600">
            <v>2120055.098684211</v>
          </cell>
        </row>
        <row r="601">
          <cell r="A601">
            <v>2003</v>
          </cell>
          <cell r="B601">
            <v>4</v>
          </cell>
          <cell r="C601">
            <v>3</v>
          </cell>
          <cell r="D601">
            <v>270</v>
          </cell>
          <cell r="E601">
            <v>1</v>
          </cell>
          <cell r="F601" t="str">
            <v>USD</v>
          </cell>
          <cell r="G601">
            <v>25</v>
          </cell>
          <cell r="H601">
            <v>84875</v>
          </cell>
          <cell r="I601">
            <v>1</v>
          </cell>
          <cell r="J601" t="str">
            <v>ГАКБ "Точиксодиротбонк"</v>
          </cell>
          <cell r="K601">
            <v>2121875</v>
          </cell>
          <cell r="L601">
            <v>86270.97039473684</v>
          </cell>
          <cell r="M601">
            <v>1.0164473684210527</v>
          </cell>
          <cell r="N601">
            <v>2156774.259868421</v>
          </cell>
        </row>
        <row r="602">
          <cell r="A602">
            <v>2003</v>
          </cell>
          <cell r="B602">
            <v>4</v>
          </cell>
          <cell r="C602">
            <v>3</v>
          </cell>
          <cell r="D602">
            <v>180</v>
          </cell>
          <cell r="E602">
            <v>1</v>
          </cell>
          <cell r="F602" t="str">
            <v>USD</v>
          </cell>
          <cell r="G602">
            <v>22</v>
          </cell>
          <cell r="H602">
            <v>463500</v>
          </cell>
          <cell r="I602">
            <v>1</v>
          </cell>
          <cell r="J602" t="str">
            <v>ГАКБ "Точиксодиротбонк"</v>
          </cell>
          <cell r="K602">
            <v>10197000</v>
          </cell>
          <cell r="L602">
            <v>471123.3552631579</v>
          </cell>
          <cell r="M602">
            <v>1.0164473684210527</v>
          </cell>
          <cell r="N602">
            <v>10364713.815789474</v>
          </cell>
        </row>
        <row r="603">
          <cell r="A603">
            <v>2003</v>
          </cell>
          <cell r="B603">
            <v>4</v>
          </cell>
          <cell r="C603">
            <v>3</v>
          </cell>
          <cell r="D603">
            <v>360</v>
          </cell>
          <cell r="E603">
            <v>1</v>
          </cell>
          <cell r="F603" t="str">
            <v>USD</v>
          </cell>
          <cell r="G603">
            <v>25</v>
          </cell>
          <cell r="H603">
            <v>730601</v>
          </cell>
          <cell r="I603">
            <v>1</v>
          </cell>
          <cell r="J603" t="str">
            <v>ГАКБ "Точиксодиротбонк"</v>
          </cell>
          <cell r="K603">
            <v>18265025</v>
          </cell>
          <cell r="L603">
            <v>742617.4638157894</v>
          </cell>
          <cell r="M603">
            <v>1.0164473684210527</v>
          </cell>
          <cell r="N603">
            <v>18565436.595394738</v>
          </cell>
        </row>
        <row r="604">
          <cell r="A604">
            <v>2003</v>
          </cell>
          <cell r="B604">
            <v>4</v>
          </cell>
          <cell r="C604">
            <v>3</v>
          </cell>
          <cell r="D604">
            <v>360</v>
          </cell>
          <cell r="E604">
            <v>1</v>
          </cell>
          <cell r="F604" t="str">
            <v>USD</v>
          </cell>
          <cell r="G604">
            <v>1</v>
          </cell>
          <cell r="H604">
            <v>463500</v>
          </cell>
          <cell r="I604">
            <v>1</v>
          </cell>
          <cell r="J604" t="str">
            <v>ГАКБ "Точиксодиротбонк"</v>
          </cell>
          <cell r="K604">
            <v>463500</v>
          </cell>
          <cell r="L604">
            <v>471123.3552631579</v>
          </cell>
          <cell r="M604">
            <v>1.0164473684210527</v>
          </cell>
          <cell r="N604">
            <v>471123.3552631579</v>
          </cell>
        </row>
        <row r="605">
          <cell r="A605">
            <v>2003</v>
          </cell>
          <cell r="B605">
            <v>4</v>
          </cell>
          <cell r="C605">
            <v>3</v>
          </cell>
          <cell r="D605">
            <v>300</v>
          </cell>
          <cell r="E605">
            <v>1</v>
          </cell>
          <cell r="F605" t="str">
            <v>USD</v>
          </cell>
          <cell r="G605">
            <v>25</v>
          </cell>
          <cell r="H605">
            <v>216300</v>
          </cell>
          <cell r="I605">
            <v>1</v>
          </cell>
          <cell r="J605" t="str">
            <v>ГАКБ "Точиксодиротбонк"</v>
          </cell>
          <cell r="K605">
            <v>5407500</v>
          </cell>
          <cell r="L605">
            <v>219857.56578947368</v>
          </cell>
          <cell r="M605">
            <v>1.0164473684210527</v>
          </cell>
          <cell r="N605">
            <v>5496439.144736842</v>
          </cell>
        </row>
        <row r="606">
          <cell r="A606">
            <v>2003</v>
          </cell>
          <cell r="B606">
            <v>4</v>
          </cell>
          <cell r="C606">
            <v>1</v>
          </cell>
          <cell r="D606">
            <v>330</v>
          </cell>
          <cell r="E606">
            <v>1</v>
          </cell>
          <cell r="F606" t="str">
            <v>USD</v>
          </cell>
          <cell r="G606">
            <v>25</v>
          </cell>
          <cell r="H606">
            <v>310545</v>
          </cell>
          <cell r="I606">
            <v>1</v>
          </cell>
          <cell r="J606" t="str">
            <v>ГАКБ "Точиксодиротбонк"</v>
          </cell>
          <cell r="K606">
            <v>7763625</v>
          </cell>
          <cell r="L606">
            <v>315652.6480263158</v>
          </cell>
          <cell r="M606">
            <v>1.0164473684210527</v>
          </cell>
          <cell r="N606">
            <v>7891316.200657895</v>
          </cell>
        </row>
        <row r="607">
          <cell r="A607">
            <v>2003</v>
          </cell>
          <cell r="B607">
            <v>4</v>
          </cell>
          <cell r="C607">
            <v>1</v>
          </cell>
          <cell r="D607">
            <v>180</v>
          </cell>
          <cell r="E607">
            <v>1</v>
          </cell>
          <cell r="F607" t="str">
            <v>USD</v>
          </cell>
          <cell r="G607">
            <v>25</v>
          </cell>
          <cell r="H607">
            <v>695250</v>
          </cell>
          <cell r="I607">
            <v>2</v>
          </cell>
          <cell r="J607" t="str">
            <v>ГАКБ "Точиксодиротбонк"</v>
          </cell>
          <cell r="K607">
            <v>17381250</v>
          </cell>
          <cell r="L607">
            <v>706685.0328947369</v>
          </cell>
          <cell r="M607">
            <v>1.0164473684210527</v>
          </cell>
          <cell r="N607">
            <v>17667125.82236842</v>
          </cell>
        </row>
        <row r="608">
          <cell r="A608">
            <v>2003</v>
          </cell>
          <cell r="B608">
            <v>4</v>
          </cell>
          <cell r="C608">
            <v>1</v>
          </cell>
          <cell r="D608">
            <v>270</v>
          </cell>
          <cell r="E608">
            <v>1</v>
          </cell>
          <cell r="F608" t="str">
            <v>USD</v>
          </cell>
          <cell r="G608">
            <v>26</v>
          </cell>
          <cell r="H608">
            <v>92699</v>
          </cell>
          <cell r="I608">
            <v>1</v>
          </cell>
          <cell r="J608" t="str">
            <v>ГАКБ "Точиксодиротбонк"</v>
          </cell>
          <cell r="K608">
            <v>2410174</v>
          </cell>
          <cell r="L608">
            <v>94223.65460526316</v>
          </cell>
          <cell r="M608">
            <v>1.0164473684210527</v>
          </cell>
          <cell r="N608">
            <v>2449815.0197368423</v>
          </cell>
        </row>
        <row r="609">
          <cell r="A609">
            <v>2003</v>
          </cell>
          <cell r="B609">
            <v>4</v>
          </cell>
          <cell r="C609">
            <v>1</v>
          </cell>
          <cell r="D609">
            <v>270</v>
          </cell>
          <cell r="E609">
            <v>1</v>
          </cell>
          <cell r="F609" t="str">
            <v>TJS</v>
          </cell>
          <cell r="G609">
            <v>26</v>
          </cell>
          <cell r="H609">
            <v>100000</v>
          </cell>
          <cell r="I609">
            <v>1</v>
          </cell>
          <cell r="J609" t="str">
            <v>ГАКБ "Точиксодиротбонк"</v>
          </cell>
          <cell r="K609">
            <v>2600000</v>
          </cell>
          <cell r="L609">
            <v>100000</v>
          </cell>
          <cell r="M609">
            <v>1</v>
          </cell>
          <cell r="N609">
            <v>2600000</v>
          </cell>
        </row>
        <row r="610">
          <cell r="A610">
            <v>2003</v>
          </cell>
          <cell r="B610">
            <v>4</v>
          </cell>
          <cell r="C610">
            <v>1</v>
          </cell>
          <cell r="D610">
            <v>150</v>
          </cell>
          <cell r="E610">
            <v>2</v>
          </cell>
          <cell r="F610" t="str">
            <v>USD</v>
          </cell>
          <cell r="G610">
            <v>32</v>
          </cell>
          <cell r="H610">
            <v>10815</v>
          </cell>
          <cell r="I610">
            <v>1</v>
          </cell>
          <cell r="J610" t="str">
            <v>ГАКБ "Точиксодиротбонк"</v>
          </cell>
          <cell r="K610">
            <v>346080</v>
          </cell>
          <cell r="L610">
            <v>10992.878289473685</v>
          </cell>
          <cell r="M610">
            <v>1.0164473684210527</v>
          </cell>
          <cell r="N610">
            <v>351772.1052631579</v>
          </cell>
        </row>
        <row r="611">
          <cell r="A611">
            <v>2003</v>
          </cell>
          <cell r="B611">
            <v>4</v>
          </cell>
          <cell r="C611">
            <v>1</v>
          </cell>
          <cell r="D611">
            <v>210</v>
          </cell>
          <cell r="E611">
            <v>1</v>
          </cell>
          <cell r="F611" t="str">
            <v>USD</v>
          </cell>
          <cell r="G611">
            <v>26</v>
          </cell>
          <cell r="H611">
            <v>12360</v>
          </cell>
          <cell r="I611">
            <v>1</v>
          </cell>
          <cell r="J611" t="str">
            <v>ГАКБ "Точиксодиротбонк"</v>
          </cell>
          <cell r="K611">
            <v>321360</v>
          </cell>
          <cell r="L611">
            <v>12563.28947368421</v>
          </cell>
          <cell r="M611">
            <v>1.0164473684210527</v>
          </cell>
          <cell r="N611">
            <v>326645.5263157895</v>
          </cell>
        </row>
        <row r="612">
          <cell r="A612">
            <v>2003</v>
          </cell>
          <cell r="B612">
            <v>4</v>
          </cell>
          <cell r="C612">
            <v>1</v>
          </cell>
          <cell r="D612">
            <v>210</v>
          </cell>
          <cell r="E612">
            <v>2</v>
          </cell>
          <cell r="F612" t="str">
            <v>TJS</v>
          </cell>
          <cell r="G612">
            <v>36</v>
          </cell>
          <cell r="H612">
            <v>6000</v>
          </cell>
          <cell r="I612">
            <v>1</v>
          </cell>
          <cell r="J612" t="str">
            <v>ГАКБ "Точиксодиротбонк"</v>
          </cell>
          <cell r="K612">
            <v>216000</v>
          </cell>
          <cell r="L612">
            <v>6000</v>
          </cell>
          <cell r="M612">
            <v>1</v>
          </cell>
          <cell r="N612">
            <v>216000</v>
          </cell>
        </row>
        <row r="613">
          <cell r="A613">
            <v>2003</v>
          </cell>
          <cell r="B613">
            <v>4</v>
          </cell>
          <cell r="C613">
            <v>1</v>
          </cell>
          <cell r="D613">
            <v>150</v>
          </cell>
          <cell r="E613">
            <v>2</v>
          </cell>
          <cell r="F613" t="str">
            <v>TJS</v>
          </cell>
          <cell r="G613">
            <v>42</v>
          </cell>
          <cell r="H613">
            <v>1000</v>
          </cell>
          <cell r="I613">
            <v>1</v>
          </cell>
          <cell r="J613" t="str">
            <v>ГАКБ "Точиксодиротбонк"</v>
          </cell>
          <cell r="K613">
            <v>42000</v>
          </cell>
          <cell r="L613">
            <v>1000</v>
          </cell>
          <cell r="M613">
            <v>1</v>
          </cell>
          <cell r="N613">
            <v>42000</v>
          </cell>
        </row>
        <row r="614">
          <cell r="A614">
            <v>2003</v>
          </cell>
          <cell r="B614">
            <v>4</v>
          </cell>
          <cell r="C614">
            <v>1</v>
          </cell>
          <cell r="D614">
            <v>240</v>
          </cell>
          <cell r="E614">
            <v>2</v>
          </cell>
          <cell r="F614" t="str">
            <v>TJS</v>
          </cell>
          <cell r="G614">
            <v>36</v>
          </cell>
          <cell r="H614">
            <v>2000</v>
          </cell>
          <cell r="I614">
            <v>1</v>
          </cell>
          <cell r="J614" t="str">
            <v>ГАКБ "Точиксодиротбонк"</v>
          </cell>
          <cell r="K614">
            <v>72000</v>
          </cell>
          <cell r="L614">
            <v>2000</v>
          </cell>
          <cell r="M614">
            <v>1</v>
          </cell>
          <cell r="N614">
            <v>72000</v>
          </cell>
        </row>
        <row r="615">
          <cell r="A615">
            <v>2003</v>
          </cell>
          <cell r="B615">
            <v>4</v>
          </cell>
          <cell r="C615">
            <v>1</v>
          </cell>
          <cell r="D615">
            <v>210</v>
          </cell>
          <cell r="E615">
            <v>2</v>
          </cell>
          <cell r="F615" t="str">
            <v>TJS</v>
          </cell>
          <cell r="G615">
            <v>36</v>
          </cell>
          <cell r="H615">
            <v>3000</v>
          </cell>
          <cell r="I615">
            <v>1</v>
          </cell>
          <cell r="J615" t="str">
            <v>ГАКБ "Точиксодиротбонк"</v>
          </cell>
          <cell r="K615">
            <v>108000</v>
          </cell>
          <cell r="L615">
            <v>3000</v>
          </cell>
          <cell r="M615">
            <v>1</v>
          </cell>
          <cell r="N615">
            <v>108000</v>
          </cell>
        </row>
        <row r="616">
          <cell r="A616">
            <v>2003</v>
          </cell>
          <cell r="B616">
            <v>4</v>
          </cell>
          <cell r="C616">
            <v>1</v>
          </cell>
          <cell r="D616">
            <v>180</v>
          </cell>
          <cell r="E616">
            <v>2</v>
          </cell>
          <cell r="F616" t="str">
            <v>TJS</v>
          </cell>
          <cell r="G616">
            <v>48</v>
          </cell>
          <cell r="H616">
            <v>7000</v>
          </cell>
          <cell r="I616">
            <v>1</v>
          </cell>
          <cell r="J616" t="str">
            <v>ГАКБ "Точиксодиротбонк"</v>
          </cell>
          <cell r="K616">
            <v>336000</v>
          </cell>
          <cell r="L616">
            <v>7000</v>
          </cell>
          <cell r="M616">
            <v>1</v>
          </cell>
          <cell r="N616">
            <v>336000</v>
          </cell>
        </row>
        <row r="617">
          <cell r="A617">
            <v>2003</v>
          </cell>
          <cell r="B617">
            <v>4</v>
          </cell>
          <cell r="C617">
            <v>1</v>
          </cell>
          <cell r="D617">
            <v>180</v>
          </cell>
          <cell r="E617">
            <v>2</v>
          </cell>
          <cell r="F617" t="str">
            <v>TJS</v>
          </cell>
          <cell r="G617">
            <v>48</v>
          </cell>
          <cell r="H617">
            <v>2000</v>
          </cell>
          <cell r="I617">
            <v>1</v>
          </cell>
          <cell r="J617" t="str">
            <v>ГАКБ "Точиксодиротбонк"</v>
          </cell>
          <cell r="K617">
            <v>96000</v>
          </cell>
          <cell r="L617">
            <v>2000</v>
          </cell>
          <cell r="M617">
            <v>1</v>
          </cell>
          <cell r="N617">
            <v>96000</v>
          </cell>
        </row>
        <row r="618">
          <cell r="A618">
            <v>2003</v>
          </cell>
          <cell r="B618">
            <v>4</v>
          </cell>
          <cell r="C618">
            <v>1</v>
          </cell>
          <cell r="D618">
            <v>180</v>
          </cell>
          <cell r="E618">
            <v>2</v>
          </cell>
          <cell r="F618" t="str">
            <v>TJS</v>
          </cell>
          <cell r="G618">
            <v>42</v>
          </cell>
          <cell r="H618">
            <v>6000</v>
          </cell>
          <cell r="I618">
            <v>1</v>
          </cell>
          <cell r="J618" t="str">
            <v>ГАКБ "Точиксодиротбонк"</v>
          </cell>
          <cell r="K618">
            <v>252000</v>
          </cell>
          <cell r="L618">
            <v>6000</v>
          </cell>
          <cell r="M618">
            <v>1</v>
          </cell>
          <cell r="N618">
            <v>252000</v>
          </cell>
        </row>
        <row r="619">
          <cell r="A619">
            <v>2003</v>
          </cell>
          <cell r="B619">
            <v>4</v>
          </cell>
          <cell r="C619">
            <v>1</v>
          </cell>
          <cell r="D619">
            <v>180</v>
          </cell>
          <cell r="E619">
            <v>2</v>
          </cell>
          <cell r="F619" t="str">
            <v>TJS</v>
          </cell>
          <cell r="G619">
            <v>48</v>
          </cell>
          <cell r="H619">
            <v>3000</v>
          </cell>
          <cell r="I619">
            <v>1</v>
          </cell>
          <cell r="J619" t="str">
            <v>ГАКБ "Точиксодиротбонк"</v>
          </cell>
          <cell r="K619">
            <v>144000</v>
          </cell>
          <cell r="L619">
            <v>3000</v>
          </cell>
          <cell r="M619">
            <v>1</v>
          </cell>
          <cell r="N619">
            <v>144000</v>
          </cell>
        </row>
        <row r="620">
          <cell r="A620">
            <v>2003</v>
          </cell>
          <cell r="B620">
            <v>4</v>
          </cell>
          <cell r="C620">
            <v>1</v>
          </cell>
          <cell r="D620">
            <v>120</v>
          </cell>
          <cell r="E620">
            <v>2</v>
          </cell>
          <cell r="F620" t="str">
            <v>TJS</v>
          </cell>
          <cell r="G620">
            <v>42</v>
          </cell>
          <cell r="H620">
            <v>6500</v>
          </cell>
          <cell r="I620">
            <v>1</v>
          </cell>
          <cell r="J620" t="str">
            <v>ГАКБ "Точиксодиротбонк"</v>
          </cell>
          <cell r="K620">
            <v>273000</v>
          </cell>
          <cell r="L620">
            <v>6500</v>
          </cell>
          <cell r="M620">
            <v>1</v>
          </cell>
          <cell r="N620">
            <v>273000</v>
          </cell>
        </row>
        <row r="621">
          <cell r="A621">
            <v>2003</v>
          </cell>
          <cell r="B621">
            <v>4</v>
          </cell>
          <cell r="C621">
            <v>1</v>
          </cell>
          <cell r="D621">
            <v>180</v>
          </cell>
          <cell r="E621">
            <v>2</v>
          </cell>
          <cell r="F621" t="str">
            <v>TJS</v>
          </cell>
          <cell r="G621">
            <v>48</v>
          </cell>
          <cell r="H621">
            <v>700</v>
          </cell>
          <cell r="I621">
            <v>1</v>
          </cell>
          <cell r="J621" t="str">
            <v>ГАКБ "Точиксодиротбонк"</v>
          </cell>
          <cell r="K621">
            <v>33600</v>
          </cell>
          <cell r="L621">
            <v>700</v>
          </cell>
          <cell r="M621">
            <v>1</v>
          </cell>
          <cell r="N621">
            <v>33600</v>
          </cell>
        </row>
        <row r="622">
          <cell r="A622">
            <v>2003</v>
          </cell>
          <cell r="B622">
            <v>4</v>
          </cell>
          <cell r="C622">
            <v>1</v>
          </cell>
          <cell r="D622">
            <v>180</v>
          </cell>
          <cell r="E622">
            <v>2</v>
          </cell>
          <cell r="F622" t="str">
            <v>TJS</v>
          </cell>
          <cell r="G622">
            <v>48</v>
          </cell>
          <cell r="H622">
            <v>18000</v>
          </cell>
          <cell r="I622">
            <v>2</v>
          </cell>
          <cell r="J622" t="str">
            <v>ГАКБ "Точиксодиротбонк"</v>
          </cell>
          <cell r="K622">
            <v>864000</v>
          </cell>
          <cell r="L622">
            <v>18000</v>
          </cell>
          <cell r="M622">
            <v>1</v>
          </cell>
          <cell r="N622">
            <v>864000</v>
          </cell>
        </row>
        <row r="623">
          <cell r="A623">
            <v>2003</v>
          </cell>
          <cell r="B623">
            <v>4</v>
          </cell>
          <cell r="C623">
            <v>3</v>
          </cell>
          <cell r="D623">
            <v>180</v>
          </cell>
          <cell r="E623">
            <v>1</v>
          </cell>
          <cell r="F623" t="str">
            <v>TJS</v>
          </cell>
          <cell r="G623">
            <v>30</v>
          </cell>
          <cell r="H623">
            <v>2000</v>
          </cell>
          <cell r="I623">
            <v>1</v>
          </cell>
          <cell r="J623" t="str">
            <v>ГАКБ "Точиксодиротбонк"</v>
          </cell>
          <cell r="K623">
            <v>60000</v>
          </cell>
          <cell r="L623">
            <v>2000</v>
          </cell>
          <cell r="M623">
            <v>1</v>
          </cell>
          <cell r="N623">
            <v>60000</v>
          </cell>
        </row>
        <row r="624">
          <cell r="A624">
            <v>2003</v>
          </cell>
          <cell r="B624">
            <v>4</v>
          </cell>
          <cell r="C624">
            <v>3</v>
          </cell>
          <cell r="D624">
            <v>180</v>
          </cell>
          <cell r="E624">
            <v>1</v>
          </cell>
          <cell r="F624" t="str">
            <v>TJS</v>
          </cell>
          <cell r="G624">
            <v>36</v>
          </cell>
          <cell r="H624">
            <v>1600</v>
          </cell>
          <cell r="I624">
            <v>1</v>
          </cell>
          <cell r="J624" t="str">
            <v>ГАКБ "Точиксодиротбонк"</v>
          </cell>
          <cell r="K624">
            <v>57600</v>
          </cell>
          <cell r="L624">
            <v>1600</v>
          </cell>
          <cell r="M624">
            <v>1</v>
          </cell>
          <cell r="N624">
            <v>57600</v>
          </cell>
        </row>
        <row r="625">
          <cell r="A625">
            <v>2003</v>
          </cell>
          <cell r="B625">
            <v>4</v>
          </cell>
          <cell r="C625">
            <v>1</v>
          </cell>
          <cell r="D625">
            <v>180</v>
          </cell>
          <cell r="E625">
            <v>1</v>
          </cell>
          <cell r="F625" t="str">
            <v>TJS</v>
          </cell>
          <cell r="G625">
            <v>36</v>
          </cell>
          <cell r="H625">
            <v>25000</v>
          </cell>
          <cell r="I625">
            <v>1</v>
          </cell>
          <cell r="J625" t="str">
            <v>ГАКБ "Точиксодиротбонк"</v>
          </cell>
          <cell r="K625">
            <v>900000</v>
          </cell>
          <cell r="L625">
            <v>25000</v>
          </cell>
          <cell r="M625">
            <v>1</v>
          </cell>
          <cell r="N625">
            <v>900000</v>
          </cell>
        </row>
        <row r="626">
          <cell r="A626">
            <v>2003</v>
          </cell>
          <cell r="B626">
            <v>4</v>
          </cell>
          <cell r="C626">
            <v>1</v>
          </cell>
          <cell r="D626">
            <v>180</v>
          </cell>
          <cell r="E626">
            <v>2</v>
          </cell>
          <cell r="F626" t="str">
            <v>TJS</v>
          </cell>
          <cell r="G626">
            <v>36</v>
          </cell>
          <cell r="H626">
            <v>27100</v>
          </cell>
          <cell r="I626">
            <v>7</v>
          </cell>
          <cell r="J626" t="str">
            <v>ГАКБ "Точиксодиротбонк"</v>
          </cell>
          <cell r="K626">
            <v>975600</v>
          </cell>
          <cell r="L626">
            <v>27100</v>
          </cell>
          <cell r="M626">
            <v>1</v>
          </cell>
          <cell r="N626">
            <v>975600</v>
          </cell>
        </row>
        <row r="627">
          <cell r="A627">
            <v>2003</v>
          </cell>
          <cell r="B627">
            <v>4</v>
          </cell>
          <cell r="C627">
            <v>3</v>
          </cell>
          <cell r="D627">
            <v>180</v>
          </cell>
          <cell r="E627">
            <v>1</v>
          </cell>
          <cell r="F627" t="str">
            <v>TJS</v>
          </cell>
          <cell r="G627">
            <v>36</v>
          </cell>
          <cell r="H627">
            <v>10500</v>
          </cell>
          <cell r="I627">
            <v>2</v>
          </cell>
          <cell r="J627" t="str">
            <v>ГАКБ "Точиксодиротбонк"</v>
          </cell>
          <cell r="K627">
            <v>378000</v>
          </cell>
          <cell r="L627">
            <v>10500</v>
          </cell>
          <cell r="M627">
            <v>1</v>
          </cell>
          <cell r="N627">
            <v>378000</v>
          </cell>
        </row>
        <row r="628">
          <cell r="A628">
            <v>2003</v>
          </cell>
          <cell r="B628">
            <v>4</v>
          </cell>
          <cell r="C628">
            <v>1</v>
          </cell>
          <cell r="D628">
            <v>180</v>
          </cell>
          <cell r="E628">
            <v>1</v>
          </cell>
          <cell r="F628" t="str">
            <v>TJS</v>
          </cell>
          <cell r="G628">
            <v>36</v>
          </cell>
          <cell r="H628">
            <v>6000</v>
          </cell>
          <cell r="I628">
            <v>1</v>
          </cell>
          <cell r="J628" t="str">
            <v>ГАКБ "Точиксодиротбонк"</v>
          </cell>
          <cell r="K628">
            <v>216000</v>
          </cell>
          <cell r="L628">
            <v>6000</v>
          </cell>
          <cell r="M628">
            <v>1</v>
          </cell>
          <cell r="N628">
            <v>216000</v>
          </cell>
        </row>
        <row r="629">
          <cell r="A629">
            <v>2003</v>
          </cell>
          <cell r="B629">
            <v>4</v>
          </cell>
          <cell r="C629">
            <v>1</v>
          </cell>
          <cell r="D629">
            <v>180</v>
          </cell>
          <cell r="E629">
            <v>1</v>
          </cell>
          <cell r="F629" t="str">
            <v>TJS</v>
          </cell>
          <cell r="G629">
            <v>60</v>
          </cell>
          <cell r="H629">
            <v>4780</v>
          </cell>
          <cell r="I629">
            <v>4</v>
          </cell>
          <cell r="J629" t="str">
            <v>ГАКБ "Точиксодиротбонк"</v>
          </cell>
          <cell r="K629">
            <v>286800</v>
          </cell>
          <cell r="L629">
            <v>4780</v>
          </cell>
          <cell r="M629">
            <v>1</v>
          </cell>
          <cell r="N629">
            <v>286800</v>
          </cell>
        </row>
        <row r="630">
          <cell r="A630">
            <v>2003</v>
          </cell>
          <cell r="B630">
            <v>4</v>
          </cell>
          <cell r="C630">
            <v>1</v>
          </cell>
          <cell r="D630">
            <v>180</v>
          </cell>
          <cell r="E630">
            <v>1</v>
          </cell>
          <cell r="F630" t="str">
            <v>TJS</v>
          </cell>
          <cell r="G630">
            <v>48</v>
          </cell>
          <cell r="H630">
            <v>42900</v>
          </cell>
          <cell r="I630">
            <v>4</v>
          </cell>
          <cell r="J630" t="str">
            <v>ГАКБ "Точиксодиротбонк"</v>
          </cell>
          <cell r="K630">
            <v>2059200</v>
          </cell>
          <cell r="L630">
            <v>42900</v>
          </cell>
          <cell r="M630">
            <v>1</v>
          </cell>
          <cell r="N630">
            <v>2059200</v>
          </cell>
        </row>
        <row r="631">
          <cell r="A631">
            <v>2003</v>
          </cell>
          <cell r="B631">
            <v>4</v>
          </cell>
          <cell r="C631">
            <v>1</v>
          </cell>
          <cell r="D631">
            <v>180</v>
          </cell>
          <cell r="E631">
            <v>2</v>
          </cell>
          <cell r="F631" t="str">
            <v>TJS</v>
          </cell>
          <cell r="G631">
            <v>36</v>
          </cell>
          <cell r="H631">
            <v>8000</v>
          </cell>
          <cell r="I631">
            <v>1</v>
          </cell>
          <cell r="J631" t="str">
            <v>КТОО "Фонон"</v>
          </cell>
          <cell r="K631">
            <v>288000</v>
          </cell>
          <cell r="L631">
            <v>8000</v>
          </cell>
          <cell r="M631">
            <v>1</v>
          </cell>
          <cell r="N631">
            <v>288000</v>
          </cell>
        </row>
        <row r="632">
          <cell r="A632">
            <v>2003</v>
          </cell>
          <cell r="B632">
            <v>4</v>
          </cell>
          <cell r="C632">
            <v>1</v>
          </cell>
          <cell r="D632">
            <v>180</v>
          </cell>
          <cell r="E632">
            <v>1</v>
          </cell>
          <cell r="F632" t="str">
            <v>TJS</v>
          </cell>
          <cell r="G632">
            <v>60</v>
          </cell>
          <cell r="H632">
            <v>1700</v>
          </cell>
          <cell r="I632">
            <v>1</v>
          </cell>
          <cell r="J632" t="str">
            <v>КТОО "Фонон"</v>
          </cell>
          <cell r="K632">
            <v>102000</v>
          </cell>
          <cell r="L632">
            <v>1700</v>
          </cell>
          <cell r="M632">
            <v>1</v>
          </cell>
          <cell r="N632">
            <v>102000</v>
          </cell>
        </row>
        <row r="633">
          <cell r="A633">
            <v>2003</v>
          </cell>
          <cell r="B633">
            <v>4</v>
          </cell>
          <cell r="C633">
            <v>1</v>
          </cell>
          <cell r="D633">
            <v>30</v>
          </cell>
          <cell r="E633">
            <v>1</v>
          </cell>
          <cell r="F633" t="str">
            <v>TJS</v>
          </cell>
          <cell r="G633">
            <v>36</v>
          </cell>
          <cell r="H633">
            <v>6000</v>
          </cell>
          <cell r="I633">
            <v>1</v>
          </cell>
          <cell r="J633" t="str">
            <v>СТК "Центрально-Азиатский банк"</v>
          </cell>
          <cell r="K633">
            <v>216000</v>
          </cell>
          <cell r="L633">
            <v>6000</v>
          </cell>
          <cell r="M633">
            <v>1</v>
          </cell>
          <cell r="N633">
            <v>216000</v>
          </cell>
        </row>
        <row r="634">
          <cell r="A634">
            <v>2003</v>
          </cell>
          <cell r="B634">
            <v>4</v>
          </cell>
          <cell r="C634">
            <v>1</v>
          </cell>
          <cell r="D634">
            <v>135</v>
          </cell>
          <cell r="E634">
            <v>1</v>
          </cell>
          <cell r="F634" t="str">
            <v>TJS</v>
          </cell>
          <cell r="G634">
            <v>40</v>
          </cell>
          <cell r="H634">
            <v>15920</v>
          </cell>
          <cell r="I634">
            <v>2</v>
          </cell>
          <cell r="J634" t="str">
            <v>СТК "Центрально-Азиатский банк"</v>
          </cell>
          <cell r="K634">
            <v>636800</v>
          </cell>
          <cell r="L634">
            <v>15920</v>
          </cell>
          <cell r="M634">
            <v>1</v>
          </cell>
          <cell r="N634">
            <v>636800</v>
          </cell>
        </row>
        <row r="635">
          <cell r="A635">
            <v>2003</v>
          </cell>
          <cell r="B635">
            <v>4</v>
          </cell>
          <cell r="C635">
            <v>1</v>
          </cell>
          <cell r="D635">
            <v>130</v>
          </cell>
          <cell r="E635">
            <v>2</v>
          </cell>
          <cell r="F635" t="str">
            <v>USD</v>
          </cell>
          <cell r="G635">
            <v>40</v>
          </cell>
          <cell r="H635">
            <v>6180</v>
          </cell>
          <cell r="I635">
            <v>1</v>
          </cell>
          <cell r="J635" t="str">
            <v>СТК "Центрально-Азиатский банк"</v>
          </cell>
          <cell r="K635">
            <v>247200</v>
          </cell>
          <cell r="L635">
            <v>6281.644736842105</v>
          </cell>
          <cell r="M635">
            <v>1.0164473684210527</v>
          </cell>
          <cell r="N635">
            <v>251265.7894736842</v>
          </cell>
        </row>
        <row r="636">
          <cell r="A636">
            <v>2003</v>
          </cell>
          <cell r="B636">
            <v>4</v>
          </cell>
          <cell r="C636">
            <v>1</v>
          </cell>
          <cell r="D636">
            <v>125</v>
          </cell>
          <cell r="E636">
            <v>2</v>
          </cell>
          <cell r="F636" t="str">
            <v>USD</v>
          </cell>
          <cell r="G636">
            <v>36</v>
          </cell>
          <cell r="H636">
            <v>3708</v>
          </cell>
          <cell r="I636">
            <v>1</v>
          </cell>
          <cell r="J636" t="str">
            <v>СТК "Центрально-Азиатский банк"</v>
          </cell>
          <cell r="K636">
            <v>133488</v>
          </cell>
          <cell r="L636">
            <v>3768.9868421052633</v>
          </cell>
          <cell r="M636">
            <v>1.0164473684210527</v>
          </cell>
          <cell r="N636">
            <v>135683.52631578947</v>
          </cell>
        </row>
        <row r="637">
          <cell r="A637">
            <v>2003</v>
          </cell>
          <cell r="B637">
            <v>4</v>
          </cell>
          <cell r="C637">
            <v>1</v>
          </cell>
          <cell r="D637">
            <v>115</v>
          </cell>
          <cell r="E637">
            <v>1</v>
          </cell>
          <cell r="F637" t="str">
            <v>USD</v>
          </cell>
          <cell r="G637">
            <v>40</v>
          </cell>
          <cell r="H637">
            <v>49440</v>
          </cell>
          <cell r="I637">
            <v>1</v>
          </cell>
          <cell r="J637" t="str">
            <v>СТК "Центрально-Азиатский банк"</v>
          </cell>
          <cell r="K637">
            <v>1977600</v>
          </cell>
          <cell r="L637">
            <v>50253.15789473684</v>
          </cell>
          <cell r="M637">
            <v>1.0164473684210527</v>
          </cell>
          <cell r="N637">
            <v>2010126.3157894737</v>
          </cell>
        </row>
        <row r="638">
          <cell r="A638">
            <v>2003</v>
          </cell>
          <cell r="B638">
            <v>4</v>
          </cell>
          <cell r="C638">
            <v>1</v>
          </cell>
          <cell r="D638">
            <v>60</v>
          </cell>
          <cell r="E638">
            <v>1</v>
          </cell>
          <cell r="F638" t="str">
            <v>TJS</v>
          </cell>
          <cell r="G638">
            <v>12</v>
          </cell>
          <cell r="H638">
            <v>5988542</v>
          </cell>
          <cell r="I638">
            <v>8</v>
          </cell>
          <cell r="J638" t="str">
            <v>ТАК ПБРР "Таджпромбанк"</v>
          </cell>
          <cell r="K638">
            <v>71862504</v>
          </cell>
          <cell r="L638">
            <v>5988542</v>
          </cell>
          <cell r="M638">
            <v>1</v>
          </cell>
          <cell r="N638">
            <v>71862504</v>
          </cell>
        </row>
        <row r="639">
          <cell r="A639">
            <v>2003</v>
          </cell>
          <cell r="B639">
            <v>4</v>
          </cell>
          <cell r="C639">
            <v>1</v>
          </cell>
          <cell r="D639">
            <v>180</v>
          </cell>
          <cell r="E639">
            <v>1</v>
          </cell>
          <cell r="F639" t="str">
            <v>TJS</v>
          </cell>
          <cell r="G639">
            <v>36</v>
          </cell>
          <cell r="H639">
            <v>3000</v>
          </cell>
          <cell r="I639">
            <v>1</v>
          </cell>
          <cell r="J639" t="str">
            <v>ТАК ПБРР "Таджпромбанк"</v>
          </cell>
          <cell r="K639">
            <v>108000</v>
          </cell>
          <cell r="L639">
            <v>3000</v>
          </cell>
          <cell r="M639">
            <v>1</v>
          </cell>
          <cell r="N639">
            <v>108000</v>
          </cell>
        </row>
        <row r="640">
          <cell r="A640">
            <v>2003</v>
          </cell>
          <cell r="B640">
            <v>4</v>
          </cell>
          <cell r="C640">
            <v>1</v>
          </cell>
          <cell r="D640">
            <v>180</v>
          </cell>
          <cell r="E640">
            <v>2</v>
          </cell>
          <cell r="F640" t="str">
            <v>TJS</v>
          </cell>
          <cell r="G640">
            <v>24</v>
          </cell>
          <cell r="H640">
            <v>8000</v>
          </cell>
          <cell r="I640">
            <v>3</v>
          </cell>
          <cell r="J640" t="str">
            <v>ТАК ПБРР "Таджпромбанк"</v>
          </cell>
          <cell r="K640">
            <v>192000</v>
          </cell>
          <cell r="L640">
            <v>8000</v>
          </cell>
          <cell r="M640">
            <v>1</v>
          </cell>
          <cell r="N640">
            <v>192000</v>
          </cell>
        </row>
        <row r="641">
          <cell r="A641">
            <v>2003</v>
          </cell>
          <cell r="B641">
            <v>4</v>
          </cell>
          <cell r="C641">
            <v>1</v>
          </cell>
          <cell r="D641">
            <v>240</v>
          </cell>
          <cell r="E641">
            <v>2</v>
          </cell>
          <cell r="F641" t="str">
            <v>TJS</v>
          </cell>
          <cell r="G641">
            <v>12</v>
          </cell>
          <cell r="H641">
            <v>70000</v>
          </cell>
          <cell r="I641">
            <v>1</v>
          </cell>
          <cell r="J641" t="str">
            <v>ТАК ПБРР "Таджпромбанк"</v>
          </cell>
          <cell r="K641">
            <v>840000</v>
          </cell>
          <cell r="L641">
            <v>70000</v>
          </cell>
          <cell r="M641">
            <v>1</v>
          </cell>
          <cell r="N641">
            <v>840000</v>
          </cell>
        </row>
        <row r="642">
          <cell r="A642">
            <v>2003</v>
          </cell>
          <cell r="B642">
            <v>4</v>
          </cell>
          <cell r="C642">
            <v>1</v>
          </cell>
          <cell r="D642">
            <v>90</v>
          </cell>
          <cell r="E642">
            <v>0</v>
          </cell>
          <cell r="F642" t="str">
            <v>TJS</v>
          </cell>
          <cell r="G642">
            <v>22</v>
          </cell>
          <cell r="H642">
            <v>150000</v>
          </cell>
          <cell r="I642">
            <v>1</v>
          </cell>
          <cell r="J642" t="str">
            <v>ТАК ПБРР "Таджпромбанк"</v>
          </cell>
          <cell r="K642">
            <v>3300000</v>
          </cell>
          <cell r="L642">
            <v>150000</v>
          </cell>
          <cell r="M642">
            <v>1</v>
          </cell>
          <cell r="N642">
            <v>3300000</v>
          </cell>
        </row>
        <row r="643">
          <cell r="A643">
            <v>2003</v>
          </cell>
          <cell r="B643">
            <v>4</v>
          </cell>
          <cell r="C643">
            <v>5</v>
          </cell>
          <cell r="D643">
            <v>90</v>
          </cell>
          <cell r="E643">
            <v>1</v>
          </cell>
          <cell r="F643" t="str">
            <v>TJS</v>
          </cell>
          <cell r="G643">
            <v>24</v>
          </cell>
          <cell r="H643">
            <v>9031</v>
          </cell>
          <cell r="I643">
            <v>1</v>
          </cell>
          <cell r="J643" t="str">
            <v>ТАК ПБРР "Таджпромбанк"</v>
          </cell>
          <cell r="K643">
            <v>216744</v>
          </cell>
          <cell r="L643">
            <v>9031</v>
          </cell>
          <cell r="M643">
            <v>1</v>
          </cell>
          <cell r="N643">
            <v>216744</v>
          </cell>
        </row>
        <row r="644">
          <cell r="A644">
            <v>2003</v>
          </cell>
          <cell r="B644">
            <v>4</v>
          </cell>
          <cell r="C644">
            <v>1</v>
          </cell>
          <cell r="D644">
            <v>90</v>
          </cell>
          <cell r="E644">
            <v>1</v>
          </cell>
          <cell r="F644" t="str">
            <v>USD</v>
          </cell>
          <cell r="G644">
            <v>24</v>
          </cell>
          <cell r="H644">
            <v>123600</v>
          </cell>
          <cell r="I644">
            <v>1</v>
          </cell>
          <cell r="J644" t="str">
            <v>ТАК ПБРР "Таджпромбанк"</v>
          </cell>
          <cell r="K644">
            <v>2966400</v>
          </cell>
          <cell r="L644">
            <v>125632.8947368421</v>
          </cell>
          <cell r="M644">
            <v>1.0164473684210527</v>
          </cell>
          <cell r="N644">
            <v>3015189.473684211</v>
          </cell>
        </row>
        <row r="645">
          <cell r="A645">
            <v>2003</v>
          </cell>
          <cell r="B645">
            <v>4</v>
          </cell>
          <cell r="C645">
            <v>1</v>
          </cell>
          <cell r="D645">
            <v>60</v>
          </cell>
          <cell r="E645">
            <v>1</v>
          </cell>
          <cell r="F645" t="str">
            <v>USD</v>
          </cell>
          <cell r="G645">
            <v>12</v>
          </cell>
          <cell r="H645">
            <v>108876</v>
          </cell>
          <cell r="I645">
            <v>1</v>
          </cell>
          <cell r="J645" t="str">
            <v>ТАК ПБРР "Таджпромбанк"</v>
          </cell>
          <cell r="K645">
            <v>1306512</v>
          </cell>
          <cell r="L645">
            <v>110666.72368421053</v>
          </cell>
          <cell r="M645">
            <v>1.0164473684210527</v>
          </cell>
          <cell r="N645">
            <v>1328000.6842105263</v>
          </cell>
        </row>
        <row r="646">
          <cell r="A646">
            <v>2003</v>
          </cell>
          <cell r="B646">
            <v>4</v>
          </cell>
          <cell r="C646">
            <v>5</v>
          </cell>
          <cell r="D646">
            <v>171</v>
          </cell>
          <cell r="E646">
            <v>1</v>
          </cell>
          <cell r="F646" t="str">
            <v>TJS</v>
          </cell>
          <cell r="G646">
            <v>24</v>
          </cell>
          <cell r="H646">
            <v>38258</v>
          </cell>
          <cell r="I646">
            <v>1</v>
          </cell>
          <cell r="J646" t="str">
            <v>ТАК ПСБ "Ориёнбанк"</v>
          </cell>
          <cell r="K646">
            <v>918192</v>
          </cell>
          <cell r="L646">
            <v>38258</v>
          </cell>
          <cell r="M646">
            <v>1</v>
          </cell>
          <cell r="N646">
            <v>918192</v>
          </cell>
        </row>
        <row r="647">
          <cell r="A647">
            <v>2003</v>
          </cell>
          <cell r="B647">
            <v>4</v>
          </cell>
          <cell r="C647">
            <v>5</v>
          </cell>
          <cell r="D647">
            <v>229</v>
          </cell>
          <cell r="E647">
            <v>2</v>
          </cell>
          <cell r="F647" t="str">
            <v>TJS</v>
          </cell>
          <cell r="G647">
            <v>24</v>
          </cell>
          <cell r="H647">
            <v>24000</v>
          </cell>
          <cell r="I647">
            <v>1</v>
          </cell>
          <cell r="J647" t="str">
            <v>ТАК ПСБ "Ориёнбанк"</v>
          </cell>
          <cell r="K647">
            <v>576000</v>
          </cell>
          <cell r="L647">
            <v>24000</v>
          </cell>
          <cell r="M647">
            <v>1</v>
          </cell>
          <cell r="N647">
            <v>576000</v>
          </cell>
        </row>
        <row r="648">
          <cell r="A648">
            <v>2003</v>
          </cell>
          <cell r="B648">
            <v>4</v>
          </cell>
          <cell r="C648">
            <v>1</v>
          </cell>
          <cell r="D648">
            <v>359</v>
          </cell>
          <cell r="E648">
            <v>2</v>
          </cell>
          <cell r="F648" t="str">
            <v>TJS</v>
          </cell>
          <cell r="G648">
            <v>28</v>
          </cell>
          <cell r="H648">
            <v>12000</v>
          </cell>
          <cell r="I648">
            <v>2</v>
          </cell>
          <cell r="J648" t="str">
            <v>ТАК ПСБ "Ориёнбанк"</v>
          </cell>
          <cell r="K648">
            <v>336000</v>
          </cell>
          <cell r="L648">
            <v>12000</v>
          </cell>
          <cell r="M648">
            <v>1</v>
          </cell>
          <cell r="N648">
            <v>336000</v>
          </cell>
        </row>
        <row r="649">
          <cell r="A649">
            <v>2003</v>
          </cell>
          <cell r="B649">
            <v>4</v>
          </cell>
          <cell r="C649">
            <v>5</v>
          </cell>
          <cell r="D649">
            <v>114</v>
          </cell>
          <cell r="E649">
            <v>2</v>
          </cell>
          <cell r="F649" t="str">
            <v>TJS</v>
          </cell>
          <cell r="G649">
            <v>24</v>
          </cell>
          <cell r="H649">
            <v>41920</v>
          </cell>
          <cell r="I649">
            <v>1</v>
          </cell>
          <cell r="J649" t="str">
            <v>ТАК ПСБ "Ориёнбанк"</v>
          </cell>
          <cell r="K649">
            <v>1006080</v>
          </cell>
          <cell r="L649">
            <v>41920</v>
          </cell>
          <cell r="M649">
            <v>1</v>
          </cell>
          <cell r="N649">
            <v>1006080</v>
          </cell>
        </row>
        <row r="650">
          <cell r="A650">
            <v>2003</v>
          </cell>
          <cell r="B650">
            <v>4</v>
          </cell>
          <cell r="C650">
            <v>5</v>
          </cell>
          <cell r="D650">
            <v>110</v>
          </cell>
          <cell r="E650">
            <v>2</v>
          </cell>
          <cell r="F650" t="str">
            <v>TJS</v>
          </cell>
          <cell r="G650">
            <v>24</v>
          </cell>
          <cell r="H650">
            <v>5000</v>
          </cell>
          <cell r="I650">
            <v>1</v>
          </cell>
          <cell r="J650" t="str">
            <v>ТАК ПСБ "Ориёнбанк"</v>
          </cell>
          <cell r="K650">
            <v>120000</v>
          </cell>
          <cell r="L650">
            <v>5000</v>
          </cell>
          <cell r="M650">
            <v>1</v>
          </cell>
          <cell r="N650">
            <v>120000</v>
          </cell>
        </row>
        <row r="651">
          <cell r="A651">
            <v>2003</v>
          </cell>
          <cell r="B651">
            <v>4</v>
          </cell>
          <cell r="C651">
            <v>5</v>
          </cell>
          <cell r="D651">
            <v>220</v>
          </cell>
          <cell r="E651">
            <v>1</v>
          </cell>
          <cell r="F651" t="str">
            <v>TJS</v>
          </cell>
          <cell r="G651">
            <v>24</v>
          </cell>
          <cell r="H651">
            <v>20000</v>
          </cell>
          <cell r="I651">
            <v>1</v>
          </cell>
          <cell r="J651" t="str">
            <v>ТАК ПСБ "Ориёнбанк"</v>
          </cell>
          <cell r="K651">
            <v>480000</v>
          </cell>
          <cell r="L651">
            <v>20000</v>
          </cell>
          <cell r="M651">
            <v>1</v>
          </cell>
          <cell r="N651">
            <v>480000</v>
          </cell>
        </row>
        <row r="652">
          <cell r="A652">
            <v>2003</v>
          </cell>
          <cell r="B652">
            <v>4</v>
          </cell>
          <cell r="C652">
            <v>1</v>
          </cell>
          <cell r="D652">
            <v>360</v>
          </cell>
          <cell r="E652">
            <v>2</v>
          </cell>
          <cell r="F652" t="str">
            <v>TJS</v>
          </cell>
          <cell r="G652">
            <v>28</v>
          </cell>
          <cell r="H652">
            <v>101000</v>
          </cell>
          <cell r="I652">
            <v>3</v>
          </cell>
          <cell r="J652" t="str">
            <v>ТАК ПСБ "Ориёнбанк"</v>
          </cell>
          <cell r="K652">
            <v>2828000</v>
          </cell>
          <cell r="L652">
            <v>101000</v>
          </cell>
          <cell r="M652">
            <v>1</v>
          </cell>
          <cell r="N652">
            <v>2828000</v>
          </cell>
        </row>
        <row r="653">
          <cell r="A653">
            <v>2003</v>
          </cell>
          <cell r="B653">
            <v>4</v>
          </cell>
          <cell r="C653">
            <v>1</v>
          </cell>
          <cell r="D653">
            <v>234</v>
          </cell>
          <cell r="E653">
            <v>2</v>
          </cell>
          <cell r="F653" t="str">
            <v>TJS</v>
          </cell>
          <cell r="G653">
            <v>28</v>
          </cell>
          <cell r="H653">
            <v>2500</v>
          </cell>
          <cell r="I653">
            <v>1</v>
          </cell>
          <cell r="J653" t="str">
            <v>ТАК ПСБ "Ориёнбанк"</v>
          </cell>
          <cell r="K653">
            <v>70000</v>
          </cell>
          <cell r="L653">
            <v>2500</v>
          </cell>
          <cell r="M653">
            <v>1</v>
          </cell>
          <cell r="N653">
            <v>70000</v>
          </cell>
        </row>
        <row r="654">
          <cell r="A654">
            <v>2003</v>
          </cell>
          <cell r="B654">
            <v>4</v>
          </cell>
          <cell r="C654">
            <v>5</v>
          </cell>
          <cell r="D654">
            <v>51</v>
          </cell>
          <cell r="E654">
            <v>2</v>
          </cell>
          <cell r="F654" t="str">
            <v>TJS</v>
          </cell>
          <cell r="G654">
            <v>28</v>
          </cell>
          <cell r="H654">
            <v>14000</v>
          </cell>
          <cell r="I654">
            <v>1</v>
          </cell>
          <cell r="J654" t="str">
            <v>ТАК ПСБ "Ориёнбанк"</v>
          </cell>
          <cell r="K654">
            <v>392000</v>
          </cell>
          <cell r="L654">
            <v>14000</v>
          </cell>
          <cell r="M654">
            <v>1</v>
          </cell>
          <cell r="N654">
            <v>392000</v>
          </cell>
        </row>
        <row r="655">
          <cell r="A655">
            <v>2003</v>
          </cell>
          <cell r="B655">
            <v>4</v>
          </cell>
          <cell r="C655">
            <v>5</v>
          </cell>
          <cell r="D655">
            <v>175</v>
          </cell>
          <cell r="E655">
            <v>2</v>
          </cell>
          <cell r="F655" t="str">
            <v>TJS</v>
          </cell>
          <cell r="G655">
            <v>24</v>
          </cell>
          <cell r="H655">
            <v>12500</v>
          </cell>
          <cell r="I655">
            <v>1</v>
          </cell>
          <cell r="J655" t="str">
            <v>ТАК ПСБ "Ориёнбанк"</v>
          </cell>
          <cell r="K655">
            <v>300000</v>
          </cell>
          <cell r="L655">
            <v>12500</v>
          </cell>
          <cell r="M655">
            <v>1</v>
          </cell>
          <cell r="N655">
            <v>300000</v>
          </cell>
        </row>
        <row r="656">
          <cell r="A656">
            <v>2003</v>
          </cell>
          <cell r="B656">
            <v>4</v>
          </cell>
          <cell r="C656">
            <v>1</v>
          </cell>
          <cell r="D656">
            <v>331</v>
          </cell>
          <cell r="E656">
            <v>1</v>
          </cell>
          <cell r="F656" t="str">
            <v>TJS</v>
          </cell>
          <cell r="G656">
            <v>28</v>
          </cell>
          <cell r="H656">
            <v>16500</v>
          </cell>
          <cell r="I656">
            <v>1</v>
          </cell>
          <cell r="J656" t="str">
            <v>ТАК ПСБ "Ориёнбанк"</v>
          </cell>
          <cell r="K656">
            <v>462000</v>
          </cell>
          <cell r="L656">
            <v>16500</v>
          </cell>
          <cell r="M656">
            <v>1</v>
          </cell>
          <cell r="N656">
            <v>462000</v>
          </cell>
        </row>
        <row r="657">
          <cell r="A657">
            <v>2003</v>
          </cell>
          <cell r="B657">
            <v>4</v>
          </cell>
          <cell r="C657">
            <v>1</v>
          </cell>
          <cell r="D657">
            <v>357</v>
          </cell>
          <cell r="E657">
            <v>2</v>
          </cell>
          <cell r="F657" t="str">
            <v>TJS</v>
          </cell>
          <cell r="G657">
            <v>28</v>
          </cell>
          <cell r="H657">
            <v>32000</v>
          </cell>
          <cell r="I657">
            <v>1</v>
          </cell>
          <cell r="J657" t="str">
            <v>ТАК ПСБ "Ориёнбанк"</v>
          </cell>
          <cell r="K657">
            <v>896000</v>
          </cell>
          <cell r="L657">
            <v>32000</v>
          </cell>
          <cell r="M657">
            <v>1</v>
          </cell>
          <cell r="N657">
            <v>896000</v>
          </cell>
        </row>
        <row r="658">
          <cell r="A658">
            <v>2003</v>
          </cell>
          <cell r="B658">
            <v>4</v>
          </cell>
          <cell r="C658">
            <v>1</v>
          </cell>
          <cell r="D658">
            <v>358</v>
          </cell>
          <cell r="E658">
            <v>1</v>
          </cell>
          <cell r="F658" t="str">
            <v>TJS</v>
          </cell>
          <cell r="G658">
            <v>28</v>
          </cell>
          <cell r="H658">
            <v>78000</v>
          </cell>
          <cell r="I658">
            <v>1</v>
          </cell>
          <cell r="J658" t="str">
            <v>ТАК ПСБ "Ориёнбанк"</v>
          </cell>
          <cell r="K658">
            <v>2184000</v>
          </cell>
          <cell r="L658">
            <v>78000</v>
          </cell>
          <cell r="M658">
            <v>1</v>
          </cell>
          <cell r="N658">
            <v>2184000</v>
          </cell>
        </row>
        <row r="659">
          <cell r="A659">
            <v>2003</v>
          </cell>
          <cell r="B659">
            <v>4</v>
          </cell>
          <cell r="C659">
            <v>1</v>
          </cell>
          <cell r="D659">
            <v>312</v>
          </cell>
          <cell r="E659">
            <v>2</v>
          </cell>
          <cell r="F659" t="str">
            <v>TJS</v>
          </cell>
          <cell r="G659">
            <v>28</v>
          </cell>
          <cell r="H659">
            <v>18000</v>
          </cell>
          <cell r="I659">
            <v>1</v>
          </cell>
          <cell r="J659" t="str">
            <v>ТАК ПСБ "Ориёнбанк"</v>
          </cell>
          <cell r="K659">
            <v>504000</v>
          </cell>
          <cell r="L659">
            <v>18000</v>
          </cell>
          <cell r="M659">
            <v>1</v>
          </cell>
          <cell r="N659">
            <v>504000</v>
          </cell>
        </row>
        <row r="660">
          <cell r="A660">
            <v>2003</v>
          </cell>
          <cell r="B660">
            <v>4</v>
          </cell>
          <cell r="C660">
            <v>1</v>
          </cell>
          <cell r="D660">
            <v>90</v>
          </cell>
          <cell r="E660">
            <v>1</v>
          </cell>
          <cell r="F660" t="str">
            <v>TJS</v>
          </cell>
          <cell r="G660">
            <v>28</v>
          </cell>
          <cell r="H660">
            <v>50000</v>
          </cell>
          <cell r="I660">
            <v>1</v>
          </cell>
          <cell r="J660" t="str">
            <v>ТАК ПСБ "Ориёнбанк"</v>
          </cell>
          <cell r="K660">
            <v>1400000</v>
          </cell>
          <cell r="L660">
            <v>50000</v>
          </cell>
          <cell r="M660">
            <v>1</v>
          </cell>
          <cell r="N660">
            <v>1400000</v>
          </cell>
        </row>
        <row r="661">
          <cell r="A661">
            <v>2003</v>
          </cell>
          <cell r="B661">
            <v>4</v>
          </cell>
          <cell r="C661">
            <v>1</v>
          </cell>
          <cell r="D661">
            <v>359</v>
          </cell>
          <cell r="E661">
            <v>2</v>
          </cell>
          <cell r="F661" t="str">
            <v>TJS</v>
          </cell>
          <cell r="G661">
            <v>26</v>
          </cell>
          <cell r="H661">
            <v>150000</v>
          </cell>
          <cell r="I661">
            <v>1</v>
          </cell>
          <cell r="J661" t="str">
            <v>ТАК ПСБ "Ориёнбанк"</v>
          </cell>
          <cell r="K661">
            <v>3900000</v>
          </cell>
          <cell r="L661">
            <v>150000</v>
          </cell>
          <cell r="M661">
            <v>1</v>
          </cell>
          <cell r="N661">
            <v>3900000</v>
          </cell>
        </row>
        <row r="662">
          <cell r="A662">
            <v>2003</v>
          </cell>
          <cell r="B662">
            <v>4</v>
          </cell>
          <cell r="C662">
            <v>1</v>
          </cell>
          <cell r="D662">
            <v>296</v>
          </cell>
          <cell r="E662">
            <v>2</v>
          </cell>
          <cell r="F662" t="str">
            <v>TJS</v>
          </cell>
          <cell r="G662">
            <v>28</v>
          </cell>
          <cell r="H662">
            <v>60000</v>
          </cell>
          <cell r="I662">
            <v>1</v>
          </cell>
          <cell r="J662" t="str">
            <v>ТАК ПСБ "Ориёнбанк"</v>
          </cell>
          <cell r="K662">
            <v>1680000</v>
          </cell>
          <cell r="L662">
            <v>60000</v>
          </cell>
          <cell r="M662">
            <v>1</v>
          </cell>
          <cell r="N662">
            <v>1680000</v>
          </cell>
        </row>
        <row r="663">
          <cell r="A663">
            <v>2003</v>
          </cell>
          <cell r="B663">
            <v>4</v>
          </cell>
          <cell r="C663">
            <v>1</v>
          </cell>
          <cell r="D663">
            <v>720</v>
          </cell>
          <cell r="E663">
            <v>2</v>
          </cell>
          <cell r="F663" t="str">
            <v>TJS</v>
          </cell>
          <cell r="G663">
            <v>20</v>
          </cell>
          <cell r="H663">
            <v>700</v>
          </cell>
          <cell r="I663">
            <v>1</v>
          </cell>
          <cell r="J663" t="str">
            <v>ТАК ПСБ "Ориёнбанк"</v>
          </cell>
          <cell r="K663">
            <v>14000</v>
          </cell>
          <cell r="L663">
            <v>700</v>
          </cell>
          <cell r="M663">
            <v>1</v>
          </cell>
          <cell r="N663">
            <v>14000</v>
          </cell>
        </row>
        <row r="664">
          <cell r="A664">
            <v>2003</v>
          </cell>
          <cell r="B664">
            <v>4</v>
          </cell>
          <cell r="C664">
            <v>1</v>
          </cell>
          <cell r="D664">
            <v>270</v>
          </cell>
          <cell r="E664">
            <v>2</v>
          </cell>
          <cell r="F664" t="str">
            <v>TJS</v>
          </cell>
          <cell r="G664">
            <v>28</v>
          </cell>
          <cell r="H664">
            <v>35000</v>
          </cell>
          <cell r="I664">
            <v>1</v>
          </cell>
          <cell r="J664" t="str">
            <v>ТАК ПСБ "Ориёнбанк"</v>
          </cell>
          <cell r="K664">
            <v>980000</v>
          </cell>
          <cell r="L664">
            <v>35000</v>
          </cell>
          <cell r="M664">
            <v>1</v>
          </cell>
          <cell r="N664">
            <v>980000</v>
          </cell>
        </row>
        <row r="665">
          <cell r="A665">
            <v>2003</v>
          </cell>
          <cell r="B665">
            <v>4</v>
          </cell>
          <cell r="C665">
            <v>5</v>
          </cell>
          <cell r="D665">
            <v>215</v>
          </cell>
          <cell r="E665">
            <v>1</v>
          </cell>
          <cell r="F665" t="str">
            <v>TJS</v>
          </cell>
          <cell r="G665">
            <v>29</v>
          </cell>
          <cell r="H665">
            <v>41910</v>
          </cell>
          <cell r="I665">
            <v>1</v>
          </cell>
          <cell r="J665" t="str">
            <v>ТАК ПСБ "Ориёнбанк"</v>
          </cell>
          <cell r="K665">
            <v>1215390</v>
          </cell>
          <cell r="L665">
            <v>41910</v>
          </cell>
          <cell r="M665">
            <v>1</v>
          </cell>
          <cell r="N665">
            <v>1215390</v>
          </cell>
        </row>
        <row r="666">
          <cell r="A666">
            <v>2003</v>
          </cell>
          <cell r="B666">
            <v>4</v>
          </cell>
          <cell r="C666">
            <v>1</v>
          </cell>
          <cell r="D666">
            <v>360</v>
          </cell>
          <cell r="E666">
            <v>2</v>
          </cell>
          <cell r="F666" t="str">
            <v>TJS</v>
          </cell>
          <cell r="G666">
            <v>36</v>
          </cell>
          <cell r="H666">
            <v>30500</v>
          </cell>
          <cell r="I666">
            <v>7</v>
          </cell>
          <cell r="J666" t="str">
            <v>ТАК ПСБ "Ориёнбанк"</v>
          </cell>
          <cell r="K666">
            <v>1098000</v>
          </cell>
          <cell r="L666">
            <v>30500</v>
          </cell>
          <cell r="M666">
            <v>1</v>
          </cell>
          <cell r="N666">
            <v>1098000</v>
          </cell>
        </row>
        <row r="667">
          <cell r="A667">
            <v>2003</v>
          </cell>
          <cell r="B667">
            <v>4</v>
          </cell>
          <cell r="C667">
            <v>1</v>
          </cell>
          <cell r="D667">
            <v>180</v>
          </cell>
          <cell r="E667">
            <v>2</v>
          </cell>
          <cell r="F667" t="str">
            <v>TJS</v>
          </cell>
          <cell r="G667">
            <v>36</v>
          </cell>
          <cell r="H667">
            <v>48100</v>
          </cell>
          <cell r="I667">
            <v>10</v>
          </cell>
          <cell r="J667" t="str">
            <v>ТАК ПСБ "Ориёнбанк"</v>
          </cell>
          <cell r="K667">
            <v>1731600</v>
          </cell>
          <cell r="L667">
            <v>48100</v>
          </cell>
          <cell r="M667">
            <v>1</v>
          </cell>
          <cell r="N667">
            <v>1731600</v>
          </cell>
        </row>
        <row r="668">
          <cell r="A668">
            <v>2003</v>
          </cell>
          <cell r="B668">
            <v>4</v>
          </cell>
          <cell r="C668">
            <v>5</v>
          </cell>
          <cell r="D668">
            <v>45</v>
          </cell>
          <cell r="E668">
            <v>2</v>
          </cell>
          <cell r="F668" t="str">
            <v>TJS</v>
          </cell>
          <cell r="G668">
            <v>28</v>
          </cell>
          <cell r="H668">
            <v>5000</v>
          </cell>
          <cell r="I668">
            <v>2</v>
          </cell>
          <cell r="J668" t="str">
            <v>ТАК ПСБ "Ориёнбанк"</v>
          </cell>
          <cell r="K668">
            <v>140000</v>
          </cell>
          <cell r="L668">
            <v>5000</v>
          </cell>
          <cell r="M668">
            <v>1</v>
          </cell>
          <cell r="N668">
            <v>140000</v>
          </cell>
        </row>
        <row r="669">
          <cell r="A669">
            <v>2003</v>
          </cell>
          <cell r="B669">
            <v>4</v>
          </cell>
          <cell r="C669">
            <v>1</v>
          </cell>
          <cell r="D669">
            <v>180</v>
          </cell>
          <cell r="E669">
            <v>2</v>
          </cell>
          <cell r="F669" t="str">
            <v>TJS</v>
          </cell>
          <cell r="G669">
            <v>28</v>
          </cell>
          <cell r="H669">
            <v>12500</v>
          </cell>
          <cell r="I669">
            <v>3</v>
          </cell>
          <cell r="J669" t="str">
            <v>ТАК ПСБ "Ориёнбанк"</v>
          </cell>
          <cell r="K669">
            <v>350000</v>
          </cell>
          <cell r="L669">
            <v>12500</v>
          </cell>
          <cell r="M669">
            <v>1</v>
          </cell>
          <cell r="N669">
            <v>350000</v>
          </cell>
        </row>
        <row r="670">
          <cell r="A670">
            <v>2003</v>
          </cell>
          <cell r="B670">
            <v>4</v>
          </cell>
          <cell r="C670">
            <v>1</v>
          </cell>
          <cell r="D670">
            <v>360</v>
          </cell>
          <cell r="E670">
            <v>1</v>
          </cell>
          <cell r="F670" t="str">
            <v>TJS</v>
          </cell>
          <cell r="G670">
            <v>28</v>
          </cell>
          <cell r="H670">
            <v>10000</v>
          </cell>
          <cell r="I670">
            <v>1</v>
          </cell>
          <cell r="J670" t="str">
            <v>ТАК ПСБ "Ориёнбанк"</v>
          </cell>
          <cell r="K670">
            <v>280000</v>
          </cell>
          <cell r="L670">
            <v>10000</v>
          </cell>
          <cell r="M670">
            <v>1</v>
          </cell>
          <cell r="N670">
            <v>280000</v>
          </cell>
        </row>
        <row r="671">
          <cell r="A671">
            <v>2003</v>
          </cell>
          <cell r="B671">
            <v>4</v>
          </cell>
          <cell r="C671">
            <v>5</v>
          </cell>
          <cell r="D671">
            <v>90</v>
          </cell>
          <cell r="E671">
            <v>1</v>
          </cell>
          <cell r="F671" t="str">
            <v>TJS</v>
          </cell>
          <cell r="G671">
            <v>20</v>
          </cell>
          <cell r="H671">
            <v>1000</v>
          </cell>
          <cell r="I671">
            <v>1</v>
          </cell>
          <cell r="J671" t="str">
            <v>ТАК ПСБ "Ориёнбанк"</v>
          </cell>
          <cell r="K671">
            <v>20000</v>
          </cell>
          <cell r="L671">
            <v>1000</v>
          </cell>
          <cell r="M671">
            <v>1</v>
          </cell>
          <cell r="N671">
            <v>20000</v>
          </cell>
        </row>
        <row r="672">
          <cell r="A672">
            <v>2003</v>
          </cell>
          <cell r="B672">
            <v>4</v>
          </cell>
          <cell r="C672">
            <v>1</v>
          </cell>
          <cell r="D672">
            <v>180</v>
          </cell>
          <cell r="E672">
            <v>2</v>
          </cell>
          <cell r="F672" t="str">
            <v>TJS</v>
          </cell>
          <cell r="G672">
            <v>30</v>
          </cell>
          <cell r="H672">
            <v>2500</v>
          </cell>
          <cell r="I672">
            <v>1</v>
          </cell>
          <cell r="J672" t="str">
            <v>ТАК ПСБ "Ориёнбанк"</v>
          </cell>
          <cell r="K672">
            <v>75000</v>
          </cell>
          <cell r="L672">
            <v>2500</v>
          </cell>
          <cell r="M672">
            <v>1</v>
          </cell>
          <cell r="N672">
            <v>75000</v>
          </cell>
        </row>
        <row r="673">
          <cell r="A673">
            <v>2003</v>
          </cell>
          <cell r="B673">
            <v>4</v>
          </cell>
          <cell r="C673">
            <v>1</v>
          </cell>
          <cell r="D673">
            <v>990</v>
          </cell>
          <cell r="E673">
            <v>2</v>
          </cell>
          <cell r="F673" t="str">
            <v>TJS</v>
          </cell>
          <cell r="G673">
            <v>20</v>
          </cell>
          <cell r="H673">
            <v>2300</v>
          </cell>
          <cell r="I673">
            <v>2</v>
          </cell>
          <cell r="J673" t="str">
            <v>ТАК ПСБ "Ориёнбанк"</v>
          </cell>
          <cell r="K673">
            <v>46000</v>
          </cell>
          <cell r="L673">
            <v>2300</v>
          </cell>
          <cell r="M673">
            <v>1</v>
          </cell>
          <cell r="N673">
            <v>46000</v>
          </cell>
        </row>
        <row r="674">
          <cell r="A674">
            <v>2003</v>
          </cell>
          <cell r="B674">
            <v>4</v>
          </cell>
          <cell r="C674">
            <v>1</v>
          </cell>
          <cell r="D674">
            <v>360</v>
          </cell>
          <cell r="E674">
            <v>1</v>
          </cell>
          <cell r="F674" t="str">
            <v>TJS</v>
          </cell>
          <cell r="G674">
            <v>30</v>
          </cell>
          <cell r="H674">
            <v>50000</v>
          </cell>
          <cell r="I674">
            <v>1</v>
          </cell>
          <cell r="J674" t="str">
            <v>ТАК ПСБ "Ориёнбанк"</v>
          </cell>
          <cell r="K674">
            <v>1500000</v>
          </cell>
          <cell r="L674">
            <v>50000</v>
          </cell>
          <cell r="M674">
            <v>1</v>
          </cell>
          <cell r="N674">
            <v>1500000</v>
          </cell>
        </row>
        <row r="675">
          <cell r="A675">
            <v>2003</v>
          </cell>
          <cell r="B675">
            <v>4</v>
          </cell>
          <cell r="C675">
            <v>1</v>
          </cell>
          <cell r="D675">
            <v>360</v>
          </cell>
          <cell r="E675">
            <v>2</v>
          </cell>
          <cell r="F675" t="str">
            <v>TJS</v>
          </cell>
          <cell r="G675">
            <v>26</v>
          </cell>
          <cell r="H675">
            <v>15000</v>
          </cell>
          <cell r="I675">
            <v>1</v>
          </cell>
          <cell r="J675" t="str">
            <v>ТАК ПСБ "Ориёнбанк"</v>
          </cell>
          <cell r="K675">
            <v>390000</v>
          </cell>
          <cell r="L675">
            <v>15000</v>
          </cell>
          <cell r="M675">
            <v>1</v>
          </cell>
          <cell r="N675">
            <v>390000</v>
          </cell>
        </row>
        <row r="676">
          <cell r="A676">
            <v>2003</v>
          </cell>
          <cell r="B676">
            <v>4</v>
          </cell>
          <cell r="C676">
            <v>5</v>
          </cell>
          <cell r="D676">
            <v>94</v>
          </cell>
          <cell r="E676">
            <v>1</v>
          </cell>
          <cell r="F676" t="str">
            <v>TJS</v>
          </cell>
          <cell r="G676">
            <v>37</v>
          </cell>
          <cell r="H676">
            <v>35000</v>
          </cell>
          <cell r="I676">
            <v>1</v>
          </cell>
          <cell r="J676" t="str">
            <v>ТАК ПСБ "Ориёнбанк"</v>
          </cell>
          <cell r="K676">
            <v>1295000</v>
          </cell>
          <cell r="L676">
            <v>35000</v>
          </cell>
          <cell r="M676">
            <v>1</v>
          </cell>
          <cell r="N676">
            <v>1295000</v>
          </cell>
        </row>
        <row r="677">
          <cell r="A677">
            <v>2003</v>
          </cell>
          <cell r="B677">
            <v>4</v>
          </cell>
          <cell r="C677">
            <v>1</v>
          </cell>
          <cell r="D677">
            <v>300</v>
          </cell>
          <cell r="E677">
            <v>1</v>
          </cell>
          <cell r="F677" t="str">
            <v>TJS</v>
          </cell>
          <cell r="G677">
            <v>34</v>
          </cell>
          <cell r="H677">
            <v>40000</v>
          </cell>
          <cell r="I677">
            <v>1</v>
          </cell>
          <cell r="J677" t="str">
            <v>ТАК ПСБ "Ориёнбанк"</v>
          </cell>
          <cell r="K677">
            <v>1360000</v>
          </cell>
          <cell r="L677">
            <v>40000</v>
          </cell>
          <cell r="M677">
            <v>1</v>
          </cell>
          <cell r="N677">
            <v>1360000</v>
          </cell>
        </row>
        <row r="678">
          <cell r="A678">
            <v>2003</v>
          </cell>
          <cell r="B678">
            <v>4</v>
          </cell>
          <cell r="C678">
            <v>1</v>
          </cell>
          <cell r="D678">
            <v>359</v>
          </cell>
          <cell r="E678">
            <v>2</v>
          </cell>
          <cell r="F678" t="str">
            <v>TJS</v>
          </cell>
          <cell r="G678">
            <v>36</v>
          </cell>
          <cell r="H678">
            <v>2500</v>
          </cell>
          <cell r="I678">
            <v>1</v>
          </cell>
          <cell r="J678" t="str">
            <v>ТАК ПСБ "Ориёнбанк"</v>
          </cell>
          <cell r="K678">
            <v>90000</v>
          </cell>
          <cell r="L678">
            <v>2500</v>
          </cell>
          <cell r="M678">
            <v>1</v>
          </cell>
          <cell r="N678">
            <v>90000</v>
          </cell>
        </row>
        <row r="679">
          <cell r="A679">
            <v>2003</v>
          </cell>
          <cell r="B679">
            <v>4</v>
          </cell>
          <cell r="C679">
            <v>1</v>
          </cell>
          <cell r="D679">
            <v>358</v>
          </cell>
          <cell r="E679">
            <v>2</v>
          </cell>
          <cell r="F679" t="str">
            <v>TJS</v>
          </cell>
          <cell r="G679">
            <v>36</v>
          </cell>
          <cell r="H679">
            <v>2500</v>
          </cell>
          <cell r="I679">
            <v>1</v>
          </cell>
          <cell r="J679" t="str">
            <v>ТАК ПСБ "Ориёнбанк"</v>
          </cell>
          <cell r="K679">
            <v>90000</v>
          </cell>
          <cell r="L679">
            <v>2500</v>
          </cell>
          <cell r="M679">
            <v>1</v>
          </cell>
          <cell r="N679">
            <v>90000</v>
          </cell>
        </row>
        <row r="680">
          <cell r="A680">
            <v>2003</v>
          </cell>
          <cell r="B680">
            <v>4</v>
          </cell>
          <cell r="C680">
            <v>1</v>
          </cell>
          <cell r="D680">
            <v>120</v>
          </cell>
          <cell r="E680">
            <v>2</v>
          </cell>
          <cell r="F680" t="str">
            <v>TJS</v>
          </cell>
          <cell r="G680">
            <v>42</v>
          </cell>
          <cell r="H680">
            <v>1000</v>
          </cell>
          <cell r="I680">
            <v>1</v>
          </cell>
          <cell r="J680" t="str">
            <v>ТАК ПСБ "Ориёнбанк"</v>
          </cell>
          <cell r="K680">
            <v>42000</v>
          </cell>
          <cell r="L680">
            <v>1000</v>
          </cell>
          <cell r="M680">
            <v>1</v>
          </cell>
          <cell r="N680">
            <v>42000</v>
          </cell>
        </row>
        <row r="681">
          <cell r="A681">
            <v>2003</v>
          </cell>
          <cell r="B681">
            <v>4</v>
          </cell>
          <cell r="C681">
            <v>1</v>
          </cell>
          <cell r="D681">
            <v>180</v>
          </cell>
          <cell r="E681">
            <v>2</v>
          </cell>
          <cell r="F681" t="str">
            <v>TJS</v>
          </cell>
          <cell r="G681">
            <v>42</v>
          </cell>
          <cell r="H681">
            <v>6000</v>
          </cell>
          <cell r="I681">
            <v>3</v>
          </cell>
          <cell r="J681" t="str">
            <v>ТАК ПСБ "Ориёнбанк"</v>
          </cell>
          <cell r="K681">
            <v>252000</v>
          </cell>
          <cell r="L681">
            <v>6000</v>
          </cell>
          <cell r="M681">
            <v>1</v>
          </cell>
          <cell r="N681">
            <v>252000</v>
          </cell>
        </row>
        <row r="682">
          <cell r="A682">
            <v>2003</v>
          </cell>
          <cell r="B682">
            <v>4</v>
          </cell>
          <cell r="C682">
            <v>1</v>
          </cell>
          <cell r="D682">
            <v>90</v>
          </cell>
          <cell r="E682">
            <v>2</v>
          </cell>
          <cell r="F682" t="str">
            <v>TJS</v>
          </cell>
          <cell r="G682">
            <v>42</v>
          </cell>
          <cell r="H682">
            <v>1500</v>
          </cell>
          <cell r="I682">
            <v>1</v>
          </cell>
          <cell r="J682" t="str">
            <v>ТАК ПСБ "Ориёнбанк"</v>
          </cell>
          <cell r="K682">
            <v>63000</v>
          </cell>
          <cell r="L682">
            <v>1500</v>
          </cell>
          <cell r="M682">
            <v>1</v>
          </cell>
          <cell r="N682">
            <v>63000</v>
          </cell>
        </row>
        <row r="683">
          <cell r="A683">
            <v>2003</v>
          </cell>
          <cell r="B683">
            <v>4</v>
          </cell>
          <cell r="C683">
            <v>1</v>
          </cell>
          <cell r="D683">
            <v>359</v>
          </cell>
          <cell r="E683">
            <v>2</v>
          </cell>
          <cell r="F683" t="str">
            <v>TJS</v>
          </cell>
          <cell r="G683">
            <v>30</v>
          </cell>
          <cell r="H683">
            <v>15000</v>
          </cell>
          <cell r="I683">
            <v>1</v>
          </cell>
          <cell r="J683" t="str">
            <v>ТАК ПСБ "Ориёнбанк"</v>
          </cell>
          <cell r="K683">
            <v>450000</v>
          </cell>
          <cell r="L683">
            <v>15000</v>
          </cell>
          <cell r="M683">
            <v>1</v>
          </cell>
          <cell r="N683">
            <v>450000</v>
          </cell>
        </row>
        <row r="684">
          <cell r="A684">
            <v>2003</v>
          </cell>
          <cell r="B684">
            <v>4</v>
          </cell>
          <cell r="C684">
            <v>1</v>
          </cell>
          <cell r="D684">
            <v>210</v>
          </cell>
          <cell r="E684">
            <v>1</v>
          </cell>
          <cell r="F684" t="str">
            <v>TJS</v>
          </cell>
          <cell r="G684">
            <v>36</v>
          </cell>
          <cell r="H684">
            <v>400</v>
          </cell>
          <cell r="I684">
            <v>1</v>
          </cell>
          <cell r="J684" t="str">
            <v>ТАК ПСБ "Ориёнбанк"</v>
          </cell>
          <cell r="K684">
            <v>14400</v>
          </cell>
          <cell r="L684">
            <v>400</v>
          </cell>
          <cell r="M684">
            <v>1</v>
          </cell>
          <cell r="N684">
            <v>14400</v>
          </cell>
        </row>
        <row r="685">
          <cell r="A685">
            <v>2003</v>
          </cell>
          <cell r="B685">
            <v>4</v>
          </cell>
          <cell r="C685">
            <v>1</v>
          </cell>
          <cell r="D685">
            <v>219</v>
          </cell>
          <cell r="E685">
            <v>2</v>
          </cell>
          <cell r="F685" t="str">
            <v>TJS</v>
          </cell>
          <cell r="G685">
            <v>36</v>
          </cell>
          <cell r="H685">
            <v>2500</v>
          </cell>
          <cell r="I685">
            <v>1</v>
          </cell>
          <cell r="J685" t="str">
            <v>ТАК ПСБ "Ориёнбанк"</v>
          </cell>
          <cell r="K685">
            <v>90000</v>
          </cell>
          <cell r="L685">
            <v>2500</v>
          </cell>
          <cell r="M685">
            <v>1</v>
          </cell>
          <cell r="N685">
            <v>90000</v>
          </cell>
        </row>
        <row r="686">
          <cell r="A686">
            <v>2003</v>
          </cell>
          <cell r="B686">
            <v>4</v>
          </cell>
          <cell r="C686">
            <v>1</v>
          </cell>
          <cell r="D686">
            <v>241</v>
          </cell>
          <cell r="E686">
            <v>1</v>
          </cell>
          <cell r="F686" t="str">
            <v>TJS</v>
          </cell>
          <cell r="G686">
            <v>30</v>
          </cell>
          <cell r="H686">
            <v>2500</v>
          </cell>
          <cell r="I686">
            <v>1</v>
          </cell>
          <cell r="J686" t="str">
            <v>ТАК ПСБ "Ориёнбанк"</v>
          </cell>
          <cell r="K686">
            <v>75000</v>
          </cell>
          <cell r="L686">
            <v>2500</v>
          </cell>
          <cell r="M686">
            <v>1</v>
          </cell>
          <cell r="N686">
            <v>75000</v>
          </cell>
        </row>
        <row r="687">
          <cell r="A687">
            <v>2003</v>
          </cell>
          <cell r="B687">
            <v>4</v>
          </cell>
          <cell r="C687">
            <v>1</v>
          </cell>
          <cell r="D687">
            <v>240</v>
          </cell>
          <cell r="E687">
            <v>1</v>
          </cell>
          <cell r="F687" t="str">
            <v>TJS</v>
          </cell>
          <cell r="G687">
            <v>36</v>
          </cell>
          <cell r="H687">
            <v>20000</v>
          </cell>
          <cell r="I687">
            <v>1</v>
          </cell>
          <cell r="J687" t="str">
            <v>ТАК ПСБ "Ориёнбанк"</v>
          </cell>
          <cell r="K687">
            <v>720000</v>
          </cell>
          <cell r="L687">
            <v>20000</v>
          </cell>
          <cell r="M687">
            <v>1</v>
          </cell>
          <cell r="N687">
            <v>720000</v>
          </cell>
        </row>
        <row r="688">
          <cell r="A688">
            <v>2003</v>
          </cell>
          <cell r="B688">
            <v>4</v>
          </cell>
          <cell r="C688">
            <v>1</v>
          </cell>
          <cell r="D688">
            <v>219</v>
          </cell>
          <cell r="E688">
            <v>2</v>
          </cell>
          <cell r="F688" t="str">
            <v>TJS</v>
          </cell>
          <cell r="G688">
            <v>30</v>
          </cell>
          <cell r="H688">
            <v>2500</v>
          </cell>
          <cell r="I688">
            <v>1</v>
          </cell>
          <cell r="J688" t="str">
            <v>ТАК ПСБ "Ориёнбанк"</v>
          </cell>
          <cell r="K688">
            <v>75000</v>
          </cell>
          <cell r="L688">
            <v>2500</v>
          </cell>
          <cell r="M688">
            <v>1</v>
          </cell>
          <cell r="N688">
            <v>75000</v>
          </cell>
        </row>
        <row r="689">
          <cell r="A689">
            <v>2003</v>
          </cell>
          <cell r="B689">
            <v>4</v>
          </cell>
          <cell r="C689">
            <v>1</v>
          </cell>
          <cell r="D689">
            <v>60</v>
          </cell>
          <cell r="E689">
            <v>2</v>
          </cell>
          <cell r="F689" t="str">
            <v>TJS</v>
          </cell>
          <cell r="G689">
            <v>36</v>
          </cell>
          <cell r="H689">
            <v>500</v>
          </cell>
          <cell r="I689">
            <v>1</v>
          </cell>
          <cell r="J689" t="str">
            <v>ТАК ПСБ "Ориёнбанк"</v>
          </cell>
          <cell r="K689">
            <v>18000</v>
          </cell>
          <cell r="L689">
            <v>500</v>
          </cell>
          <cell r="M689">
            <v>1</v>
          </cell>
          <cell r="N689">
            <v>18000</v>
          </cell>
        </row>
        <row r="690">
          <cell r="A690">
            <v>2003</v>
          </cell>
          <cell r="B690">
            <v>4</v>
          </cell>
          <cell r="C690">
            <v>1</v>
          </cell>
          <cell r="D690">
            <v>182</v>
          </cell>
          <cell r="E690">
            <v>2</v>
          </cell>
          <cell r="F690" t="str">
            <v>TJS</v>
          </cell>
          <cell r="G690">
            <v>32</v>
          </cell>
          <cell r="H690">
            <v>5000</v>
          </cell>
          <cell r="I690">
            <v>2</v>
          </cell>
          <cell r="J690" t="str">
            <v>ТАК ПСБ "Ориёнбанк"</v>
          </cell>
          <cell r="K690">
            <v>160000</v>
          </cell>
          <cell r="L690">
            <v>5000</v>
          </cell>
          <cell r="M690">
            <v>1</v>
          </cell>
          <cell r="N690">
            <v>160000</v>
          </cell>
        </row>
        <row r="691">
          <cell r="A691">
            <v>2003</v>
          </cell>
          <cell r="B691">
            <v>4</v>
          </cell>
          <cell r="C691">
            <v>1</v>
          </cell>
          <cell r="D691">
            <v>1080</v>
          </cell>
          <cell r="E691">
            <v>2</v>
          </cell>
          <cell r="F691" t="str">
            <v>TJS</v>
          </cell>
          <cell r="G691">
            <v>20</v>
          </cell>
          <cell r="H691">
            <v>1350</v>
          </cell>
          <cell r="I691">
            <v>1</v>
          </cell>
          <cell r="J691" t="str">
            <v>ТАК ПСБ "Ориёнбанк"</v>
          </cell>
          <cell r="K691">
            <v>27000</v>
          </cell>
          <cell r="L691">
            <v>1350</v>
          </cell>
          <cell r="M691">
            <v>1</v>
          </cell>
          <cell r="N691">
            <v>27000</v>
          </cell>
        </row>
        <row r="692">
          <cell r="A692">
            <v>2003</v>
          </cell>
          <cell r="B692">
            <v>4</v>
          </cell>
          <cell r="C692">
            <v>1</v>
          </cell>
          <cell r="D692">
            <v>185</v>
          </cell>
          <cell r="E692">
            <v>2</v>
          </cell>
          <cell r="F692" t="str">
            <v>TJS</v>
          </cell>
          <cell r="G692">
            <v>36</v>
          </cell>
          <cell r="H692">
            <v>2500</v>
          </cell>
          <cell r="I692">
            <v>1</v>
          </cell>
          <cell r="J692" t="str">
            <v>ТАК ПСБ "Ориёнбанк"</v>
          </cell>
          <cell r="K692">
            <v>90000</v>
          </cell>
          <cell r="L692">
            <v>2500</v>
          </cell>
          <cell r="M692">
            <v>1</v>
          </cell>
          <cell r="N692">
            <v>90000</v>
          </cell>
        </row>
        <row r="693">
          <cell r="A693">
            <v>2003</v>
          </cell>
          <cell r="B693">
            <v>4</v>
          </cell>
          <cell r="C693">
            <v>5</v>
          </cell>
          <cell r="D693">
            <v>60</v>
          </cell>
          <cell r="E693">
            <v>1</v>
          </cell>
          <cell r="F693" t="str">
            <v>TJS</v>
          </cell>
          <cell r="G693">
            <v>30</v>
          </cell>
          <cell r="H693">
            <v>6600</v>
          </cell>
          <cell r="I693">
            <v>1</v>
          </cell>
          <cell r="J693" t="str">
            <v>ТАК ПСБ "Ориёнбанк"</v>
          </cell>
          <cell r="K693">
            <v>198000</v>
          </cell>
          <cell r="L693">
            <v>6600</v>
          </cell>
          <cell r="M693">
            <v>1</v>
          </cell>
          <cell r="N693">
            <v>198000</v>
          </cell>
        </row>
        <row r="694">
          <cell r="A694">
            <v>2003</v>
          </cell>
          <cell r="B694">
            <v>4</v>
          </cell>
          <cell r="C694">
            <v>1</v>
          </cell>
          <cell r="D694">
            <v>360</v>
          </cell>
          <cell r="E694">
            <v>2</v>
          </cell>
          <cell r="F694" t="str">
            <v>TJS</v>
          </cell>
          <cell r="G694">
            <v>30</v>
          </cell>
          <cell r="H694">
            <v>20000</v>
          </cell>
          <cell r="I694">
            <v>1</v>
          </cell>
          <cell r="J694" t="str">
            <v>ТАК ПСБ "Ориёнбанк"</v>
          </cell>
          <cell r="K694">
            <v>600000</v>
          </cell>
          <cell r="L694">
            <v>20000</v>
          </cell>
          <cell r="M694">
            <v>1</v>
          </cell>
          <cell r="N694">
            <v>600000</v>
          </cell>
        </row>
        <row r="695">
          <cell r="A695">
            <v>2003</v>
          </cell>
          <cell r="B695">
            <v>4</v>
          </cell>
          <cell r="C695">
            <v>1</v>
          </cell>
          <cell r="D695">
            <v>240</v>
          </cell>
          <cell r="E695">
            <v>2</v>
          </cell>
          <cell r="F695" t="str">
            <v>TJS</v>
          </cell>
          <cell r="G695">
            <v>42</v>
          </cell>
          <cell r="H695">
            <v>5000</v>
          </cell>
          <cell r="I695">
            <v>1</v>
          </cell>
          <cell r="J695" t="str">
            <v>ТАК ПСБ "Ориёнбанк"</v>
          </cell>
          <cell r="K695">
            <v>210000</v>
          </cell>
          <cell r="L695">
            <v>5000</v>
          </cell>
          <cell r="M695">
            <v>1</v>
          </cell>
          <cell r="N695">
            <v>210000</v>
          </cell>
        </row>
        <row r="696">
          <cell r="A696">
            <v>2003</v>
          </cell>
          <cell r="B696">
            <v>4</v>
          </cell>
          <cell r="C696">
            <v>1</v>
          </cell>
          <cell r="D696">
            <v>210</v>
          </cell>
          <cell r="E696">
            <v>2</v>
          </cell>
          <cell r="F696" t="str">
            <v>TJS</v>
          </cell>
          <cell r="G696">
            <v>40</v>
          </cell>
          <cell r="H696">
            <v>4000</v>
          </cell>
          <cell r="I696">
            <v>1</v>
          </cell>
          <cell r="J696" t="str">
            <v>ТАК ПСБ "Ориёнбанк"</v>
          </cell>
          <cell r="K696">
            <v>160000</v>
          </cell>
          <cell r="L696">
            <v>4000</v>
          </cell>
          <cell r="M696">
            <v>1</v>
          </cell>
          <cell r="N696">
            <v>160000</v>
          </cell>
        </row>
        <row r="697">
          <cell r="A697">
            <v>2003</v>
          </cell>
          <cell r="B697">
            <v>4</v>
          </cell>
          <cell r="C697">
            <v>1</v>
          </cell>
          <cell r="D697">
            <v>91</v>
          </cell>
          <cell r="E697">
            <v>1</v>
          </cell>
          <cell r="F697" t="str">
            <v>USD</v>
          </cell>
          <cell r="G697">
            <v>18</v>
          </cell>
          <cell r="H697">
            <v>185400</v>
          </cell>
          <cell r="I697">
            <v>1</v>
          </cell>
          <cell r="J697" t="str">
            <v>ТАК ПСБ "Ориёнбанк"</v>
          </cell>
          <cell r="K697">
            <v>3337200</v>
          </cell>
          <cell r="L697">
            <v>188449.34210526317</v>
          </cell>
          <cell r="M697">
            <v>1.0164473684210527</v>
          </cell>
          <cell r="N697">
            <v>3392088.157894737</v>
          </cell>
        </row>
        <row r="698">
          <cell r="A698">
            <v>2003</v>
          </cell>
          <cell r="B698">
            <v>4</v>
          </cell>
          <cell r="C698">
            <v>3</v>
          </cell>
          <cell r="D698">
            <v>300</v>
          </cell>
          <cell r="E698">
            <v>1</v>
          </cell>
          <cell r="F698" t="str">
            <v>TJS</v>
          </cell>
          <cell r="G698">
            <v>20</v>
          </cell>
          <cell r="H698">
            <v>1000</v>
          </cell>
          <cell r="I698">
            <v>1</v>
          </cell>
          <cell r="J698" t="str">
            <v>АКБ  СП "Сохибкорбанк"</v>
          </cell>
          <cell r="K698">
            <v>20000</v>
          </cell>
          <cell r="L698">
            <v>1000</v>
          </cell>
          <cell r="M698">
            <v>1</v>
          </cell>
          <cell r="N698">
            <v>20000</v>
          </cell>
        </row>
        <row r="699">
          <cell r="A699">
            <v>2003</v>
          </cell>
          <cell r="B699">
            <v>4</v>
          </cell>
          <cell r="C699">
            <v>1</v>
          </cell>
          <cell r="D699">
            <v>240</v>
          </cell>
          <cell r="E699">
            <v>1</v>
          </cell>
          <cell r="F699" t="str">
            <v>TJS</v>
          </cell>
          <cell r="G699">
            <v>27</v>
          </cell>
          <cell r="H699">
            <v>31000</v>
          </cell>
          <cell r="I699">
            <v>1</v>
          </cell>
          <cell r="J699" t="str">
            <v>АКБ  СП "Сохибкорбанк"</v>
          </cell>
          <cell r="K699">
            <v>837000</v>
          </cell>
          <cell r="L699">
            <v>31000</v>
          </cell>
          <cell r="M699">
            <v>1</v>
          </cell>
          <cell r="N699">
            <v>837000</v>
          </cell>
        </row>
        <row r="700">
          <cell r="A700">
            <v>2003</v>
          </cell>
          <cell r="B700">
            <v>4</v>
          </cell>
          <cell r="C700">
            <v>1</v>
          </cell>
          <cell r="D700">
            <v>90</v>
          </cell>
          <cell r="E700">
            <v>1</v>
          </cell>
          <cell r="F700" t="str">
            <v>TJS</v>
          </cell>
          <cell r="G700">
            <v>30</v>
          </cell>
          <cell r="H700">
            <v>10000</v>
          </cell>
          <cell r="I700">
            <v>1</v>
          </cell>
          <cell r="J700" t="str">
            <v>АООТ "Ходжент"</v>
          </cell>
          <cell r="K700">
            <v>300000</v>
          </cell>
          <cell r="L700">
            <v>10000</v>
          </cell>
          <cell r="M700">
            <v>1</v>
          </cell>
          <cell r="N700">
            <v>300000</v>
          </cell>
        </row>
        <row r="701">
          <cell r="A701">
            <v>2003</v>
          </cell>
          <cell r="B701">
            <v>4</v>
          </cell>
          <cell r="C701">
            <v>1</v>
          </cell>
          <cell r="D701">
            <v>210</v>
          </cell>
          <cell r="E701">
            <v>1</v>
          </cell>
          <cell r="F701" t="str">
            <v>TJS</v>
          </cell>
          <cell r="G701">
            <v>30</v>
          </cell>
          <cell r="H701">
            <v>40000</v>
          </cell>
          <cell r="I701">
            <v>1</v>
          </cell>
          <cell r="J701" t="str">
            <v>АООТ "Ходжент"</v>
          </cell>
          <cell r="K701">
            <v>1200000</v>
          </cell>
          <cell r="L701">
            <v>40000</v>
          </cell>
          <cell r="M701">
            <v>1</v>
          </cell>
          <cell r="N701">
            <v>1200000</v>
          </cell>
        </row>
        <row r="702">
          <cell r="A702">
            <v>2003</v>
          </cell>
          <cell r="B702">
            <v>4</v>
          </cell>
          <cell r="C702">
            <v>5</v>
          </cell>
          <cell r="D702">
            <v>240</v>
          </cell>
          <cell r="E702">
            <v>1</v>
          </cell>
          <cell r="F702" t="str">
            <v>TJS</v>
          </cell>
          <cell r="G702">
            <v>30</v>
          </cell>
          <cell r="H702">
            <v>47900</v>
          </cell>
          <cell r="I702">
            <v>5</v>
          </cell>
          <cell r="J702" t="str">
            <v>КТОО "Дехкон"</v>
          </cell>
          <cell r="K702">
            <v>1437000</v>
          </cell>
          <cell r="L702">
            <v>47900</v>
          </cell>
          <cell r="M702">
            <v>1</v>
          </cell>
          <cell r="N702">
            <v>1437000</v>
          </cell>
        </row>
        <row r="703">
          <cell r="A703">
            <v>2003</v>
          </cell>
          <cell r="B703">
            <v>4</v>
          </cell>
          <cell r="C703">
            <v>1</v>
          </cell>
          <cell r="D703">
            <v>180</v>
          </cell>
          <cell r="E703">
            <v>1</v>
          </cell>
          <cell r="F703" t="str">
            <v>TJS</v>
          </cell>
          <cell r="G703">
            <v>25</v>
          </cell>
          <cell r="H703">
            <v>20656</v>
          </cell>
          <cell r="I703">
            <v>1</v>
          </cell>
          <cell r="J703" t="str">
            <v>АКБ "Ганчина"</v>
          </cell>
          <cell r="K703">
            <v>516400</v>
          </cell>
          <cell r="L703">
            <v>20656</v>
          </cell>
          <cell r="M703">
            <v>1</v>
          </cell>
          <cell r="N703">
            <v>516400</v>
          </cell>
        </row>
        <row r="704">
          <cell r="A704">
            <v>2003</v>
          </cell>
          <cell r="B704">
            <v>4</v>
          </cell>
          <cell r="C704">
            <v>1</v>
          </cell>
          <cell r="D704">
            <v>330</v>
          </cell>
          <cell r="E704">
            <v>1</v>
          </cell>
          <cell r="F704" t="str">
            <v>TJS</v>
          </cell>
          <cell r="G704">
            <v>25</v>
          </cell>
          <cell r="H704">
            <v>3000</v>
          </cell>
          <cell r="I704">
            <v>1</v>
          </cell>
          <cell r="J704" t="str">
            <v>АКБ "Ганчина"</v>
          </cell>
          <cell r="K704">
            <v>75000</v>
          </cell>
          <cell r="L704">
            <v>3000</v>
          </cell>
          <cell r="M704">
            <v>1</v>
          </cell>
          <cell r="N704">
            <v>75000</v>
          </cell>
        </row>
        <row r="705">
          <cell r="A705">
            <v>2003</v>
          </cell>
          <cell r="B705">
            <v>4</v>
          </cell>
          <cell r="C705">
            <v>1</v>
          </cell>
          <cell r="D705">
            <v>330</v>
          </cell>
          <cell r="E705">
            <v>1</v>
          </cell>
          <cell r="F705" t="str">
            <v>TJS</v>
          </cell>
          <cell r="G705">
            <v>25</v>
          </cell>
          <cell r="H705">
            <v>28500</v>
          </cell>
          <cell r="I705">
            <v>1</v>
          </cell>
          <cell r="J705" t="str">
            <v>АКБ "Ганчина"</v>
          </cell>
          <cell r="K705">
            <v>712500</v>
          </cell>
          <cell r="L705">
            <v>28500</v>
          </cell>
          <cell r="M705">
            <v>1</v>
          </cell>
          <cell r="N705">
            <v>712500</v>
          </cell>
        </row>
        <row r="706">
          <cell r="A706">
            <v>2003</v>
          </cell>
          <cell r="B706">
            <v>4</v>
          </cell>
          <cell r="C706">
            <v>1</v>
          </cell>
          <cell r="D706">
            <v>60</v>
          </cell>
          <cell r="E706">
            <v>1</v>
          </cell>
          <cell r="F706" t="str">
            <v>TJS</v>
          </cell>
          <cell r="G706">
            <v>18</v>
          </cell>
          <cell r="H706">
            <v>100000</v>
          </cell>
          <cell r="I706">
            <v>1</v>
          </cell>
          <cell r="J706" t="str">
            <v>ГСБ РТ "Амонатбонк"</v>
          </cell>
          <cell r="K706">
            <v>1800000</v>
          </cell>
          <cell r="L706">
            <v>100000</v>
          </cell>
          <cell r="M706">
            <v>1</v>
          </cell>
          <cell r="N706">
            <v>1800000</v>
          </cell>
        </row>
        <row r="707">
          <cell r="A707">
            <v>2003</v>
          </cell>
          <cell r="B707">
            <v>4</v>
          </cell>
          <cell r="C707">
            <v>1</v>
          </cell>
          <cell r="D707">
            <v>360</v>
          </cell>
          <cell r="E707">
            <v>1</v>
          </cell>
          <cell r="F707" t="str">
            <v>TJS</v>
          </cell>
          <cell r="G707">
            <v>36</v>
          </cell>
          <cell r="H707">
            <v>30000</v>
          </cell>
          <cell r="I707">
            <v>1</v>
          </cell>
          <cell r="J707" t="str">
            <v>ГСБ РТ "Амонатбонк"</v>
          </cell>
          <cell r="K707">
            <v>1080000</v>
          </cell>
          <cell r="L707">
            <v>30000</v>
          </cell>
          <cell r="M707">
            <v>1</v>
          </cell>
          <cell r="N707">
            <v>1080000</v>
          </cell>
        </row>
        <row r="708">
          <cell r="A708">
            <v>2003</v>
          </cell>
          <cell r="B708">
            <v>5</v>
          </cell>
          <cell r="C708">
            <v>1</v>
          </cell>
          <cell r="D708">
            <v>183</v>
          </cell>
          <cell r="E708">
            <v>1</v>
          </cell>
          <cell r="F708" t="str">
            <v>TJS</v>
          </cell>
          <cell r="G708">
            <v>30</v>
          </cell>
          <cell r="H708">
            <v>3000</v>
          </cell>
          <cell r="I708">
            <v>1</v>
          </cell>
          <cell r="J708" t="str">
            <v>АК АПИБ "Агроинвестбанк"</v>
          </cell>
          <cell r="K708">
            <v>90000</v>
          </cell>
          <cell r="L708">
            <v>3000</v>
          </cell>
          <cell r="M708">
            <v>1</v>
          </cell>
          <cell r="N708">
            <v>90000</v>
          </cell>
        </row>
        <row r="709">
          <cell r="A709">
            <v>2003</v>
          </cell>
          <cell r="B709">
            <v>5</v>
          </cell>
          <cell r="C709">
            <v>1</v>
          </cell>
          <cell r="D709">
            <v>91</v>
          </cell>
          <cell r="E709">
            <v>1</v>
          </cell>
          <cell r="F709" t="str">
            <v>TJS</v>
          </cell>
          <cell r="G709">
            <v>33</v>
          </cell>
          <cell r="H709">
            <v>3000</v>
          </cell>
          <cell r="I709">
            <v>1</v>
          </cell>
          <cell r="J709" t="str">
            <v>АК АПИБ "Агроинвестбанк"</v>
          </cell>
          <cell r="K709">
            <v>99000</v>
          </cell>
          <cell r="L709">
            <v>3000</v>
          </cell>
          <cell r="M709">
            <v>1</v>
          </cell>
          <cell r="N709">
            <v>99000</v>
          </cell>
        </row>
        <row r="710">
          <cell r="A710">
            <v>2003</v>
          </cell>
          <cell r="B710">
            <v>5</v>
          </cell>
          <cell r="C710">
            <v>1</v>
          </cell>
          <cell r="D710">
            <v>153</v>
          </cell>
          <cell r="E710">
            <v>1</v>
          </cell>
          <cell r="F710" t="str">
            <v>TJS</v>
          </cell>
          <cell r="G710">
            <v>40</v>
          </cell>
          <cell r="H710">
            <v>3000</v>
          </cell>
          <cell r="I710">
            <v>1</v>
          </cell>
          <cell r="J710" t="str">
            <v>АК АПИБ "Агроинвестбанк"</v>
          </cell>
          <cell r="K710">
            <v>120000</v>
          </cell>
          <cell r="L710">
            <v>3000</v>
          </cell>
          <cell r="M710">
            <v>1</v>
          </cell>
          <cell r="N710">
            <v>120000</v>
          </cell>
        </row>
        <row r="711">
          <cell r="A711">
            <v>2003</v>
          </cell>
          <cell r="B711">
            <v>5</v>
          </cell>
          <cell r="C711">
            <v>1</v>
          </cell>
          <cell r="D711">
            <v>40</v>
          </cell>
          <cell r="E711">
            <v>1</v>
          </cell>
          <cell r="F711" t="str">
            <v>TJS</v>
          </cell>
          <cell r="G711">
            <v>42</v>
          </cell>
          <cell r="H711">
            <v>3000</v>
          </cell>
          <cell r="I711">
            <v>1</v>
          </cell>
          <cell r="J711" t="str">
            <v>АК АПИБ "Агроинвестбанк"</v>
          </cell>
          <cell r="K711">
            <v>126000</v>
          </cell>
          <cell r="L711">
            <v>3000</v>
          </cell>
          <cell r="M711">
            <v>1</v>
          </cell>
          <cell r="N711">
            <v>126000</v>
          </cell>
        </row>
        <row r="712">
          <cell r="A712">
            <v>2003</v>
          </cell>
          <cell r="B712">
            <v>5</v>
          </cell>
          <cell r="C712">
            <v>1</v>
          </cell>
          <cell r="D712">
            <v>57</v>
          </cell>
          <cell r="E712">
            <v>1</v>
          </cell>
          <cell r="F712" t="str">
            <v>TJS</v>
          </cell>
          <cell r="G712">
            <v>45</v>
          </cell>
          <cell r="H712">
            <v>3000</v>
          </cell>
          <cell r="I712">
            <v>1</v>
          </cell>
          <cell r="J712" t="str">
            <v>АК АПИБ "Агроинвестбанк"</v>
          </cell>
          <cell r="K712">
            <v>135000</v>
          </cell>
          <cell r="L712">
            <v>3000</v>
          </cell>
          <cell r="M712">
            <v>1</v>
          </cell>
          <cell r="N712">
            <v>135000</v>
          </cell>
        </row>
        <row r="713">
          <cell r="A713">
            <v>2003</v>
          </cell>
          <cell r="B713">
            <v>5</v>
          </cell>
          <cell r="C713">
            <v>1</v>
          </cell>
          <cell r="D713">
            <v>239</v>
          </cell>
          <cell r="E713">
            <v>2</v>
          </cell>
          <cell r="F713" t="str">
            <v>TJS</v>
          </cell>
          <cell r="G713">
            <v>20</v>
          </cell>
          <cell r="H713">
            <v>1446</v>
          </cell>
          <cell r="I713">
            <v>1</v>
          </cell>
          <cell r="J713" t="str">
            <v>АК АПИБ "Агроинвестбанк"</v>
          </cell>
          <cell r="K713">
            <v>28920</v>
          </cell>
          <cell r="L713">
            <v>1446</v>
          </cell>
          <cell r="M713">
            <v>1</v>
          </cell>
          <cell r="N713">
            <v>28920</v>
          </cell>
        </row>
        <row r="714">
          <cell r="A714">
            <v>2003</v>
          </cell>
          <cell r="B714">
            <v>5</v>
          </cell>
          <cell r="C714">
            <v>1</v>
          </cell>
          <cell r="D714">
            <v>145</v>
          </cell>
          <cell r="E714">
            <v>2</v>
          </cell>
          <cell r="F714" t="str">
            <v>TJS</v>
          </cell>
          <cell r="G714">
            <v>25</v>
          </cell>
          <cell r="H714">
            <v>3000</v>
          </cell>
          <cell r="I714">
            <v>1</v>
          </cell>
          <cell r="J714" t="str">
            <v>АК АПИБ "Агроинвестбанк"</v>
          </cell>
          <cell r="K714">
            <v>75000</v>
          </cell>
          <cell r="L714">
            <v>3000</v>
          </cell>
          <cell r="M714">
            <v>1</v>
          </cell>
          <cell r="N714">
            <v>75000</v>
          </cell>
        </row>
        <row r="715">
          <cell r="A715">
            <v>2003</v>
          </cell>
          <cell r="B715">
            <v>5</v>
          </cell>
          <cell r="C715">
            <v>1</v>
          </cell>
          <cell r="D715">
            <v>153</v>
          </cell>
          <cell r="E715">
            <v>2</v>
          </cell>
          <cell r="F715" t="str">
            <v>TJS</v>
          </cell>
          <cell r="G715">
            <v>25</v>
          </cell>
          <cell r="H715">
            <v>30000</v>
          </cell>
          <cell r="I715">
            <v>10</v>
          </cell>
          <cell r="J715" t="str">
            <v>АК АПИБ "Агроинвестбанк"</v>
          </cell>
          <cell r="K715">
            <v>750000</v>
          </cell>
          <cell r="L715">
            <v>30000</v>
          </cell>
          <cell r="M715">
            <v>1</v>
          </cell>
          <cell r="N715">
            <v>750000</v>
          </cell>
        </row>
        <row r="716">
          <cell r="A716">
            <v>2003</v>
          </cell>
          <cell r="B716">
            <v>5</v>
          </cell>
          <cell r="C716">
            <v>1</v>
          </cell>
          <cell r="D716">
            <v>184</v>
          </cell>
          <cell r="E716">
            <v>2</v>
          </cell>
          <cell r="F716" t="str">
            <v>TJS</v>
          </cell>
          <cell r="G716">
            <v>27</v>
          </cell>
          <cell r="H716">
            <v>2250</v>
          </cell>
          <cell r="I716">
            <v>1</v>
          </cell>
          <cell r="J716" t="str">
            <v>АК АПИБ "Агроинвестбанк"</v>
          </cell>
          <cell r="K716">
            <v>60750</v>
          </cell>
          <cell r="L716">
            <v>2250</v>
          </cell>
          <cell r="M716">
            <v>1</v>
          </cell>
          <cell r="N716">
            <v>60750</v>
          </cell>
        </row>
        <row r="717">
          <cell r="A717">
            <v>2003</v>
          </cell>
          <cell r="B717">
            <v>5</v>
          </cell>
          <cell r="C717">
            <v>1</v>
          </cell>
          <cell r="D717">
            <v>152</v>
          </cell>
          <cell r="E717">
            <v>2</v>
          </cell>
          <cell r="F717" t="str">
            <v>TJS</v>
          </cell>
          <cell r="G717">
            <v>30</v>
          </cell>
          <cell r="H717">
            <v>3000</v>
          </cell>
          <cell r="I717">
            <v>1</v>
          </cell>
          <cell r="J717" t="str">
            <v>АК АПИБ "Агроинвестбанк"</v>
          </cell>
          <cell r="K717">
            <v>90000</v>
          </cell>
          <cell r="L717">
            <v>3000</v>
          </cell>
          <cell r="M717">
            <v>1</v>
          </cell>
          <cell r="N717">
            <v>90000</v>
          </cell>
        </row>
        <row r="718">
          <cell r="A718">
            <v>2003</v>
          </cell>
          <cell r="B718">
            <v>5</v>
          </cell>
          <cell r="C718">
            <v>1</v>
          </cell>
          <cell r="D718">
            <v>218</v>
          </cell>
          <cell r="E718">
            <v>2</v>
          </cell>
          <cell r="F718" t="str">
            <v>TJS</v>
          </cell>
          <cell r="G718">
            <v>30</v>
          </cell>
          <cell r="H718">
            <v>2250</v>
          </cell>
          <cell r="I718">
            <v>1</v>
          </cell>
          <cell r="J718" t="str">
            <v>АК АПИБ "Агроинвестбанк"</v>
          </cell>
          <cell r="K718">
            <v>67500</v>
          </cell>
          <cell r="L718">
            <v>2250</v>
          </cell>
          <cell r="M718">
            <v>1</v>
          </cell>
          <cell r="N718">
            <v>67500</v>
          </cell>
        </row>
        <row r="719">
          <cell r="A719">
            <v>2003</v>
          </cell>
          <cell r="B719">
            <v>5</v>
          </cell>
          <cell r="C719">
            <v>1</v>
          </cell>
          <cell r="D719">
            <v>92</v>
          </cell>
          <cell r="E719">
            <v>2</v>
          </cell>
          <cell r="F719" t="str">
            <v>TJS</v>
          </cell>
          <cell r="G719">
            <v>32</v>
          </cell>
          <cell r="H719">
            <v>600</v>
          </cell>
          <cell r="I719">
            <v>1</v>
          </cell>
          <cell r="J719" t="str">
            <v>АК АПИБ "Агроинвестбанк"</v>
          </cell>
          <cell r="K719">
            <v>19200</v>
          </cell>
          <cell r="L719">
            <v>600</v>
          </cell>
          <cell r="M719">
            <v>1</v>
          </cell>
          <cell r="N719">
            <v>19200</v>
          </cell>
        </row>
        <row r="720">
          <cell r="A720">
            <v>2003</v>
          </cell>
          <cell r="B720">
            <v>5</v>
          </cell>
          <cell r="C720">
            <v>1</v>
          </cell>
          <cell r="D720">
            <v>122</v>
          </cell>
          <cell r="E720">
            <v>2</v>
          </cell>
          <cell r="F720" t="str">
            <v>TJS</v>
          </cell>
          <cell r="G720">
            <v>33</v>
          </cell>
          <cell r="H720">
            <v>2200</v>
          </cell>
          <cell r="I720">
            <v>1</v>
          </cell>
          <cell r="J720" t="str">
            <v>АК АПИБ "Агроинвестбанк"</v>
          </cell>
          <cell r="K720">
            <v>72600</v>
          </cell>
          <cell r="L720">
            <v>2200</v>
          </cell>
          <cell r="M720">
            <v>1</v>
          </cell>
          <cell r="N720">
            <v>72600</v>
          </cell>
        </row>
        <row r="721">
          <cell r="A721">
            <v>2003</v>
          </cell>
          <cell r="B721">
            <v>5</v>
          </cell>
          <cell r="C721">
            <v>1</v>
          </cell>
          <cell r="D721">
            <v>175</v>
          </cell>
          <cell r="E721">
            <v>2</v>
          </cell>
          <cell r="F721" t="str">
            <v>TJS</v>
          </cell>
          <cell r="G721">
            <v>35</v>
          </cell>
          <cell r="H721">
            <v>1500</v>
          </cell>
          <cell r="I721">
            <v>1</v>
          </cell>
          <cell r="J721" t="str">
            <v>АК АПИБ "Агроинвестбанк"</v>
          </cell>
          <cell r="K721">
            <v>52500</v>
          </cell>
          <cell r="L721">
            <v>1500</v>
          </cell>
          <cell r="M721">
            <v>1</v>
          </cell>
          <cell r="N721">
            <v>52500</v>
          </cell>
        </row>
        <row r="722">
          <cell r="A722">
            <v>2003</v>
          </cell>
          <cell r="B722">
            <v>5</v>
          </cell>
          <cell r="C722">
            <v>1</v>
          </cell>
          <cell r="D722">
            <v>184</v>
          </cell>
          <cell r="E722">
            <v>2</v>
          </cell>
          <cell r="F722" t="str">
            <v>TJS</v>
          </cell>
          <cell r="G722">
            <v>35</v>
          </cell>
          <cell r="H722">
            <v>1500</v>
          </cell>
          <cell r="I722">
            <v>1</v>
          </cell>
          <cell r="J722" t="str">
            <v>АК АПИБ "Агроинвестбанк"</v>
          </cell>
          <cell r="K722">
            <v>52500</v>
          </cell>
          <cell r="L722">
            <v>1500</v>
          </cell>
          <cell r="M722">
            <v>1</v>
          </cell>
          <cell r="N722">
            <v>52500</v>
          </cell>
        </row>
        <row r="723">
          <cell r="A723">
            <v>2003</v>
          </cell>
          <cell r="B723">
            <v>5</v>
          </cell>
          <cell r="C723">
            <v>1</v>
          </cell>
          <cell r="D723">
            <v>234</v>
          </cell>
          <cell r="E723">
            <v>2</v>
          </cell>
          <cell r="F723" t="str">
            <v>TJS</v>
          </cell>
          <cell r="G723">
            <v>35</v>
          </cell>
          <cell r="H723">
            <v>3000</v>
          </cell>
          <cell r="I723">
            <v>1</v>
          </cell>
          <cell r="J723" t="str">
            <v>АК АПИБ "Агроинвестбанк"</v>
          </cell>
          <cell r="K723">
            <v>105000</v>
          </cell>
          <cell r="L723">
            <v>3000</v>
          </cell>
          <cell r="M723">
            <v>1</v>
          </cell>
          <cell r="N723">
            <v>105000</v>
          </cell>
        </row>
        <row r="724">
          <cell r="A724">
            <v>2003</v>
          </cell>
          <cell r="B724">
            <v>5</v>
          </cell>
          <cell r="C724">
            <v>1</v>
          </cell>
          <cell r="D724">
            <v>92</v>
          </cell>
          <cell r="E724">
            <v>2</v>
          </cell>
          <cell r="F724" t="str">
            <v>TJS</v>
          </cell>
          <cell r="G724">
            <v>36</v>
          </cell>
          <cell r="H724">
            <v>2000</v>
          </cell>
          <cell r="I724">
            <v>1</v>
          </cell>
          <cell r="J724" t="str">
            <v>АК АПИБ "Агроинвестбанк"</v>
          </cell>
          <cell r="K724">
            <v>72000</v>
          </cell>
          <cell r="L724">
            <v>2000</v>
          </cell>
          <cell r="M724">
            <v>1</v>
          </cell>
          <cell r="N724">
            <v>72000</v>
          </cell>
        </row>
        <row r="725">
          <cell r="A725">
            <v>2003</v>
          </cell>
          <cell r="B725">
            <v>5</v>
          </cell>
          <cell r="C725">
            <v>1</v>
          </cell>
          <cell r="D725">
            <v>184</v>
          </cell>
          <cell r="E725">
            <v>2</v>
          </cell>
          <cell r="F725" t="str">
            <v>TJS</v>
          </cell>
          <cell r="G725">
            <v>36</v>
          </cell>
          <cell r="H725">
            <v>8000</v>
          </cell>
          <cell r="I725">
            <v>3</v>
          </cell>
          <cell r="J725" t="str">
            <v>АК АПИБ "Агроинвестбанк"</v>
          </cell>
          <cell r="K725">
            <v>288000</v>
          </cell>
          <cell r="L725">
            <v>8000</v>
          </cell>
          <cell r="M725">
            <v>1</v>
          </cell>
          <cell r="N725">
            <v>288000</v>
          </cell>
        </row>
        <row r="726">
          <cell r="A726">
            <v>2003</v>
          </cell>
          <cell r="B726">
            <v>5</v>
          </cell>
          <cell r="C726">
            <v>1</v>
          </cell>
          <cell r="D726">
            <v>91</v>
          </cell>
          <cell r="E726">
            <v>2</v>
          </cell>
          <cell r="F726" t="str">
            <v>TJS</v>
          </cell>
          <cell r="G726">
            <v>40</v>
          </cell>
          <cell r="H726">
            <v>800</v>
          </cell>
          <cell r="I726">
            <v>1</v>
          </cell>
          <cell r="J726" t="str">
            <v>АК АПИБ "Агроинвестбанк"</v>
          </cell>
          <cell r="K726">
            <v>32000</v>
          </cell>
          <cell r="L726">
            <v>800</v>
          </cell>
          <cell r="M726">
            <v>1</v>
          </cell>
          <cell r="N726">
            <v>32000</v>
          </cell>
        </row>
        <row r="727">
          <cell r="A727">
            <v>2003</v>
          </cell>
          <cell r="B727">
            <v>5</v>
          </cell>
          <cell r="C727">
            <v>1</v>
          </cell>
          <cell r="D727">
            <v>55</v>
          </cell>
          <cell r="E727">
            <v>2</v>
          </cell>
          <cell r="F727" t="str">
            <v>TJS</v>
          </cell>
          <cell r="G727">
            <v>45</v>
          </cell>
          <cell r="H727">
            <v>3000</v>
          </cell>
          <cell r="I727">
            <v>1</v>
          </cell>
          <cell r="J727" t="str">
            <v>АК АПИБ "Агроинвестбанк"</v>
          </cell>
          <cell r="K727">
            <v>135000</v>
          </cell>
          <cell r="L727">
            <v>3000</v>
          </cell>
          <cell r="M727">
            <v>1</v>
          </cell>
          <cell r="N727">
            <v>135000</v>
          </cell>
        </row>
        <row r="728">
          <cell r="A728">
            <v>2003</v>
          </cell>
          <cell r="B728">
            <v>5</v>
          </cell>
          <cell r="C728">
            <v>1</v>
          </cell>
          <cell r="D728">
            <v>57</v>
          </cell>
          <cell r="E728">
            <v>2</v>
          </cell>
          <cell r="F728" t="str">
            <v>TJS</v>
          </cell>
          <cell r="G728">
            <v>45</v>
          </cell>
          <cell r="H728">
            <v>3000</v>
          </cell>
          <cell r="I728">
            <v>1</v>
          </cell>
          <cell r="J728" t="str">
            <v>АК АПИБ "Агроинвестбанк"</v>
          </cell>
          <cell r="K728">
            <v>135000</v>
          </cell>
          <cell r="L728">
            <v>3000</v>
          </cell>
          <cell r="M728">
            <v>1</v>
          </cell>
          <cell r="N728">
            <v>135000</v>
          </cell>
        </row>
        <row r="729">
          <cell r="A729">
            <v>2003</v>
          </cell>
          <cell r="B729">
            <v>5</v>
          </cell>
          <cell r="C729">
            <v>2</v>
          </cell>
          <cell r="D729">
            <v>232</v>
          </cell>
          <cell r="E729">
            <v>1</v>
          </cell>
          <cell r="F729" t="str">
            <v>TJS</v>
          </cell>
          <cell r="G729">
            <v>12</v>
          </cell>
          <cell r="H729">
            <v>45394</v>
          </cell>
          <cell r="I729">
            <v>1</v>
          </cell>
          <cell r="J729" t="str">
            <v>АК АПИБ "Агроинвестбанк"</v>
          </cell>
          <cell r="K729">
            <v>544728</v>
          </cell>
          <cell r="L729">
            <v>45394</v>
          </cell>
          <cell r="M729">
            <v>1</v>
          </cell>
          <cell r="N729">
            <v>544728</v>
          </cell>
        </row>
        <row r="730">
          <cell r="A730">
            <v>2003</v>
          </cell>
          <cell r="B730">
            <v>5</v>
          </cell>
          <cell r="C730">
            <v>2</v>
          </cell>
          <cell r="D730">
            <v>220</v>
          </cell>
          <cell r="E730">
            <v>1</v>
          </cell>
          <cell r="F730" t="str">
            <v>TJS</v>
          </cell>
          <cell r="G730">
            <v>12</v>
          </cell>
          <cell r="H730">
            <v>230000</v>
          </cell>
          <cell r="I730">
            <v>1</v>
          </cell>
          <cell r="J730" t="str">
            <v>АК АПИБ "Агроинвестбанк"</v>
          </cell>
          <cell r="K730">
            <v>2760000</v>
          </cell>
          <cell r="L730">
            <v>230000</v>
          </cell>
          <cell r="M730">
            <v>1</v>
          </cell>
          <cell r="N730">
            <v>2760000</v>
          </cell>
        </row>
        <row r="731">
          <cell r="A731">
            <v>2003</v>
          </cell>
          <cell r="B731">
            <v>5</v>
          </cell>
          <cell r="C731">
            <v>2</v>
          </cell>
          <cell r="D731">
            <v>231</v>
          </cell>
          <cell r="E731">
            <v>1</v>
          </cell>
          <cell r="F731" t="str">
            <v>TJS</v>
          </cell>
          <cell r="G731">
            <v>12</v>
          </cell>
          <cell r="H731">
            <v>163602</v>
          </cell>
          <cell r="I731">
            <v>2</v>
          </cell>
          <cell r="J731" t="str">
            <v>АК АПИБ "Агроинвестбанк"</v>
          </cell>
          <cell r="K731">
            <v>1963224</v>
          </cell>
          <cell r="L731">
            <v>163602</v>
          </cell>
          <cell r="M731">
            <v>1</v>
          </cell>
          <cell r="N731">
            <v>1963224</v>
          </cell>
        </row>
        <row r="732">
          <cell r="A732">
            <v>2003</v>
          </cell>
          <cell r="B732">
            <v>5</v>
          </cell>
          <cell r="C732">
            <v>3</v>
          </cell>
          <cell r="D732">
            <v>341</v>
          </cell>
          <cell r="E732">
            <v>2</v>
          </cell>
          <cell r="F732" t="str">
            <v>TJS</v>
          </cell>
          <cell r="G732">
            <v>22</v>
          </cell>
          <cell r="H732">
            <v>600</v>
          </cell>
          <cell r="I732">
            <v>1</v>
          </cell>
          <cell r="J732" t="str">
            <v>АК АПИБ "Агроинвестбанк"</v>
          </cell>
          <cell r="K732">
            <v>13200</v>
          </cell>
          <cell r="L732">
            <v>600</v>
          </cell>
          <cell r="M732">
            <v>1</v>
          </cell>
          <cell r="N732">
            <v>13200</v>
          </cell>
        </row>
        <row r="733">
          <cell r="A733">
            <v>2003</v>
          </cell>
          <cell r="B733">
            <v>5</v>
          </cell>
          <cell r="C733">
            <v>1</v>
          </cell>
          <cell r="D733">
            <v>180</v>
          </cell>
          <cell r="E733">
            <v>1</v>
          </cell>
          <cell r="F733" t="str">
            <v>USD</v>
          </cell>
          <cell r="G733">
            <v>12</v>
          </cell>
          <cell r="H733">
            <v>16501</v>
          </cell>
          <cell r="I733">
            <v>1</v>
          </cell>
          <cell r="J733" t="str">
            <v>АК АПИБ "Агроинвестбанк"</v>
          </cell>
          <cell r="K733">
            <v>198012</v>
          </cell>
          <cell r="L733">
            <v>16772.39802631579</v>
          </cell>
          <cell r="M733">
            <v>1.0164473684210527</v>
          </cell>
          <cell r="N733">
            <v>201268.77631578947</v>
          </cell>
        </row>
        <row r="734">
          <cell r="A734">
            <v>2003</v>
          </cell>
          <cell r="B734">
            <v>5</v>
          </cell>
          <cell r="C734">
            <v>1</v>
          </cell>
          <cell r="D734">
            <v>215</v>
          </cell>
          <cell r="E734">
            <v>1</v>
          </cell>
          <cell r="F734" t="str">
            <v>USD</v>
          </cell>
          <cell r="G734">
            <v>25</v>
          </cell>
          <cell r="H734">
            <v>9270</v>
          </cell>
          <cell r="I734">
            <v>1</v>
          </cell>
          <cell r="J734" t="str">
            <v>АК АПИБ "Агроинвестбанк"</v>
          </cell>
          <cell r="K734">
            <v>231750</v>
          </cell>
          <cell r="L734">
            <v>9422.467105263158</v>
          </cell>
          <cell r="M734">
            <v>1.0164473684210527</v>
          </cell>
          <cell r="N734">
            <v>235561.67763157896</v>
          </cell>
        </row>
        <row r="735">
          <cell r="A735">
            <v>2003</v>
          </cell>
          <cell r="B735">
            <v>5</v>
          </cell>
          <cell r="C735">
            <v>1</v>
          </cell>
          <cell r="D735">
            <v>334</v>
          </cell>
          <cell r="E735">
            <v>1</v>
          </cell>
          <cell r="F735" t="str">
            <v>USD</v>
          </cell>
          <cell r="G735">
            <v>25</v>
          </cell>
          <cell r="H735">
            <v>14523</v>
          </cell>
          <cell r="I735">
            <v>2</v>
          </cell>
          <cell r="J735" t="str">
            <v>АК АПИБ "Агроинвестбанк"</v>
          </cell>
          <cell r="K735">
            <v>363075</v>
          </cell>
          <cell r="L735">
            <v>14761.865131578948</v>
          </cell>
          <cell r="M735">
            <v>1.0164473684210527</v>
          </cell>
          <cell r="N735">
            <v>369046.6282894737</v>
          </cell>
        </row>
        <row r="736">
          <cell r="A736">
            <v>2003</v>
          </cell>
          <cell r="B736">
            <v>5</v>
          </cell>
          <cell r="C736">
            <v>1</v>
          </cell>
          <cell r="D736">
            <v>175</v>
          </cell>
          <cell r="E736">
            <v>2</v>
          </cell>
          <cell r="F736" t="str">
            <v>USD</v>
          </cell>
          <cell r="G736">
            <v>14</v>
          </cell>
          <cell r="H736">
            <v>1545</v>
          </cell>
          <cell r="I736">
            <v>1</v>
          </cell>
          <cell r="J736" t="str">
            <v>АК АПИБ "Агроинвестбанк"</v>
          </cell>
          <cell r="K736">
            <v>21630</v>
          </cell>
          <cell r="L736">
            <v>1570.4111842105262</v>
          </cell>
          <cell r="M736">
            <v>1.0164473684210527</v>
          </cell>
          <cell r="N736">
            <v>21985.75657894737</v>
          </cell>
        </row>
        <row r="737">
          <cell r="A737">
            <v>2003</v>
          </cell>
          <cell r="B737">
            <v>5</v>
          </cell>
          <cell r="C737">
            <v>1</v>
          </cell>
          <cell r="D737">
            <v>213</v>
          </cell>
          <cell r="E737">
            <v>2</v>
          </cell>
          <cell r="F737" t="str">
            <v>USD</v>
          </cell>
          <cell r="G737">
            <v>24</v>
          </cell>
          <cell r="H737">
            <v>6180</v>
          </cell>
          <cell r="I737">
            <v>4</v>
          </cell>
          <cell r="J737" t="str">
            <v>АК АПИБ "Агроинвестбанк"</v>
          </cell>
          <cell r="K737">
            <v>148320</v>
          </cell>
          <cell r="L737">
            <v>6281.644736842105</v>
          </cell>
          <cell r="M737">
            <v>1.0164473684210527</v>
          </cell>
          <cell r="N737">
            <v>150759.47368421053</v>
          </cell>
        </row>
        <row r="738">
          <cell r="A738">
            <v>2003</v>
          </cell>
          <cell r="B738">
            <v>5</v>
          </cell>
          <cell r="C738">
            <v>1</v>
          </cell>
          <cell r="D738">
            <v>365</v>
          </cell>
          <cell r="E738">
            <v>2</v>
          </cell>
          <cell r="F738" t="str">
            <v>USD</v>
          </cell>
          <cell r="G738">
            <v>24</v>
          </cell>
          <cell r="H738">
            <v>1545</v>
          </cell>
          <cell r="I738">
            <v>1</v>
          </cell>
          <cell r="J738" t="str">
            <v>АК АПИБ "Агроинвестбанк"</v>
          </cell>
          <cell r="K738">
            <v>37080</v>
          </cell>
          <cell r="L738">
            <v>1570.4111842105262</v>
          </cell>
          <cell r="M738">
            <v>1.0164473684210527</v>
          </cell>
          <cell r="N738">
            <v>37689.86842105263</v>
          </cell>
        </row>
        <row r="739">
          <cell r="A739">
            <v>2003</v>
          </cell>
          <cell r="B739">
            <v>5</v>
          </cell>
          <cell r="C739">
            <v>1</v>
          </cell>
          <cell r="D739">
            <v>90</v>
          </cell>
          <cell r="E739">
            <v>2</v>
          </cell>
          <cell r="F739" t="str">
            <v>USD</v>
          </cell>
          <cell r="G739">
            <v>27</v>
          </cell>
          <cell r="H739">
            <v>1545</v>
          </cell>
          <cell r="I739">
            <v>1</v>
          </cell>
          <cell r="J739" t="str">
            <v>АК АПИБ "Агроинвестбанк"</v>
          </cell>
          <cell r="K739">
            <v>41715</v>
          </cell>
          <cell r="L739">
            <v>1570.4111842105262</v>
          </cell>
          <cell r="M739">
            <v>1.0164473684210527</v>
          </cell>
          <cell r="N739">
            <v>42401.10197368421</v>
          </cell>
        </row>
        <row r="740">
          <cell r="A740">
            <v>2003</v>
          </cell>
          <cell r="B740">
            <v>5</v>
          </cell>
          <cell r="C740">
            <v>1</v>
          </cell>
          <cell r="D740">
            <v>64</v>
          </cell>
          <cell r="E740">
            <v>2</v>
          </cell>
          <cell r="F740" t="str">
            <v>USD</v>
          </cell>
          <cell r="G740">
            <v>30</v>
          </cell>
          <cell r="H740">
            <v>1545</v>
          </cell>
          <cell r="I740">
            <v>1</v>
          </cell>
          <cell r="J740" t="str">
            <v>АК АПИБ "Агроинвестбанк"</v>
          </cell>
          <cell r="K740">
            <v>46350</v>
          </cell>
          <cell r="L740">
            <v>1570.4111842105262</v>
          </cell>
          <cell r="M740">
            <v>1.0164473684210527</v>
          </cell>
          <cell r="N740">
            <v>47112.335526315794</v>
          </cell>
        </row>
        <row r="741">
          <cell r="A741">
            <v>2003</v>
          </cell>
          <cell r="B741">
            <v>5</v>
          </cell>
          <cell r="C741">
            <v>1</v>
          </cell>
          <cell r="D741">
            <v>85</v>
          </cell>
          <cell r="E741">
            <v>2</v>
          </cell>
          <cell r="F741" t="str">
            <v>USD</v>
          </cell>
          <cell r="G741">
            <v>30</v>
          </cell>
          <cell r="H741">
            <v>773</v>
          </cell>
          <cell r="I741">
            <v>1</v>
          </cell>
          <cell r="J741" t="str">
            <v>АК АПИБ "Агроинвестбанк"</v>
          </cell>
          <cell r="K741">
            <v>23190</v>
          </cell>
          <cell r="L741">
            <v>785.7138157894738</v>
          </cell>
          <cell r="M741">
            <v>1.0164473684210527</v>
          </cell>
          <cell r="N741">
            <v>23571.41447368421</v>
          </cell>
        </row>
        <row r="742">
          <cell r="A742">
            <v>2003</v>
          </cell>
          <cell r="B742">
            <v>5</v>
          </cell>
          <cell r="C742">
            <v>1</v>
          </cell>
          <cell r="D742">
            <v>100</v>
          </cell>
          <cell r="E742">
            <v>2</v>
          </cell>
          <cell r="F742" t="str">
            <v>USD</v>
          </cell>
          <cell r="G742">
            <v>30</v>
          </cell>
          <cell r="H742">
            <v>1545</v>
          </cell>
          <cell r="I742">
            <v>1</v>
          </cell>
          <cell r="J742" t="str">
            <v>АК АПИБ "Агроинвестбанк"</v>
          </cell>
          <cell r="K742">
            <v>46350</v>
          </cell>
          <cell r="L742">
            <v>1570.4111842105262</v>
          </cell>
          <cell r="M742">
            <v>1.0164473684210527</v>
          </cell>
          <cell r="N742">
            <v>47112.335526315794</v>
          </cell>
        </row>
        <row r="743">
          <cell r="A743">
            <v>2003</v>
          </cell>
          <cell r="B743">
            <v>5</v>
          </cell>
          <cell r="C743">
            <v>1</v>
          </cell>
          <cell r="D743">
            <v>145</v>
          </cell>
          <cell r="E743">
            <v>2</v>
          </cell>
          <cell r="F743" t="str">
            <v>USD</v>
          </cell>
          <cell r="G743">
            <v>30</v>
          </cell>
          <cell r="H743">
            <v>1545</v>
          </cell>
          <cell r="I743">
            <v>1</v>
          </cell>
          <cell r="J743" t="str">
            <v>АК АПИБ "Агроинвестбанк"</v>
          </cell>
          <cell r="K743">
            <v>46350</v>
          </cell>
          <cell r="L743">
            <v>1570.4111842105262</v>
          </cell>
          <cell r="M743">
            <v>1.0164473684210527</v>
          </cell>
          <cell r="N743">
            <v>47112.335526315794</v>
          </cell>
        </row>
        <row r="744">
          <cell r="A744">
            <v>2003</v>
          </cell>
          <cell r="B744">
            <v>5</v>
          </cell>
          <cell r="C744">
            <v>1</v>
          </cell>
          <cell r="D744">
            <v>165</v>
          </cell>
          <cell r="E744">
            <v>2</v>
          </cell>
          <cell r="F744" t="str">
            <v>USD</v>
          </cell>
          <cell r="G744">
            <v>30</v>
          </cell>
          <cell r="H744">
            <v>3090</v>
          </cell>
          <cell r="I744">
            <v>1</v>
          </cell>
          <cell r="J744" t="str">
            <v>АК АПИБ "Агроинвестбанк"</v>
          </cell>
          <cell r="K744">
            <v>92700</v>
          </cell>
          <cell r="L744">
            <v>3140.8223684210525</v>
          </cell>
          <cell r="M744">
            <v>1.0164473684210527</v>
          </cell>
          <cell r="N744">
            <v>94224.67105263159</v>
          </cell>
        </row>
        <row r="745">
          <cell r="A745">
            <v>2003</v>
          </cell>
          <cell r="B745">
            <v>5</v>
          </cell>
          <cell r="C745">
            <v>1</v>
          </cell>
          <cell r="D745">
            <v>180</v>
          </cell>
          <cell r="E745">
            <v>2</v>
          </cell>
          <cell r="F745" t="str">
            <v>USD</v>
          </cell>
          <cell r="G745">
            <v>30</v>
          </cell>
          <cell r="H745">
            <v>13905</v>
          </cell>
          <cell r="I745">
            <v>7</v>
          </cell>
          <cell r="J745" t="str">
            <v>АК АПИБ "Агроинвестбанк"</v>
          </cell>
          <cell r="K745">
            <v>417150</v>
          </cell>
          <cell r="L745">
            <v>14133.700657894737</v>
          </cell>
          <cell r="M745">
            <v>1.0164473684210527</v>
          </cell>
          <cell r="N745">
            <v>424011.01973684214</v>
          </cell>
        </row>
        <row r="746">
          <cell r="A746">
            <v>2003</v>
          </cell>
          <cell r="B746">
            <v>5</v>
          </cell>
          <cell r="C746">
            <v>1</v>
          </cell>
          <cell r="D746">
            <v>190</v>
          </cell>
          <cell r="E746">
            <v>2</v>
          </cell>
          <cell r="F746" t="str">
            <v>USD</v>
          </cell>
          <cell r="G746">
            <v>30</v>
          </cell>
          <cell r="H746">
            <v>1545</v>
          </cell>
          <cell r="I746">
            <v>1</v>
          </cell>
          <cell r="J746" t="str">
            <v>АК АПИБ "Агроинвестбанк"</v>
          </cell>
          <cell r="K746">
            <v>46350</v>
          </cell>
          <cell r="L746">
            <v>1570.4111842105262</v>
          </cell>
          <cell r="M746">
            <v>1.0164473684210527</v>
          </cell>
          <cell r="N746">
            <v>47112.335526315794</v>
          </cell>
        </row>
        <row r="747">
          <cell r="A747">
            <v>2003</v>
          </cell>
          <cell r="B747">
            <v>5</v>
          </cell>
          <cell r="C747">
            <v>1</v>
          </cell>
          <cell r="D747">
            <v>195</v>
          </cell>
          <cell r="E747">
            <v>2</v>
          </cell>
          <cell r="F747" t="str">
            <v>USD</v>
          </cell>
          <cell r="G747">
            <v>30</v>
          </cell>
          <cell r="H747">
            <v>1545</v>
          </cell>
          <cell r="I747">
            <v>1</v>
          </cell>
          <cell r="J747" t="str">
            <v>АК АПИБ "Агроинвестбанк"</v>
          </cell>
          <cell r="K747">
            <v>46350</v>
          </cell>
          <cell r="L747">
            <v>1570.4111842105262</v>
          </cell>
          <cell r="M747">
            <v>1.0164473684210527</v>
          </cell>
          <cell r="N747">
            <v>47112.335526315794</v>
          </cell>
        </row>
        <row r="748">
          <cell r="A748">
            <v>2003</v>
          </cell>
          <cell r="B748">
            <v>5</v>
          </cell>
          <cell r="C748">
            <v>1</v>
          </cell>
          <cell r="D748">
            <v>200</v>
          </cell>
          <cell r="E748">
            <v>2</v>
          </cell>
          <cell r="F748" t="str">
            <v>USD</v>
          </cell>
          <cell r="G748">
            <v>30</v>
          </cell>
          <cell r="H748">
            <v>1545</v>
          </cell>
          <cell r="I748">
            <v>1</v>
          </cell>
          <cell r="J748" t="str">
            <v>АК АПИБ "Агроинвестбанк"</v>
          </cell>
          <cell r="K748">
            <v>46350</v>
          </cell>
          <cell r="L748">
            <v>1570.4111842105262</v>
          </cell>
          <cell r="M748">
            <v>1.0164473684210527</v>
          </cell>
          <cell r="N748">
            <v>47112.335526315794</v>
          </cell>
        </row>
        <row r="749">
          <cell r="A749">
            <v>2003</v>
          </cell>
          <cell r="B749">
            <v>5</v>
          </cell>
          <cell r="C749">
            <v>1</v>
          </cell>
          <cell r="D749">
            <v>205</v>
          </cell>
          <cell r="E749">
            <v>2</v>
          </cell>
          <cell r="F749" t="str">
            <v>USD</v>
          </cell>
          <cell r="G749">
            <v>30</v>
          </cell>
          <cell r="H749">
            <v>1545</v>
          </cell>
          <cell r="I749">
            <v>1</v>
          </cell>
          <cell r="J749" t="str">
            <v>АК АПИБ "Агроинвестбанк"</v>
          </cell>
          <cell r="K749">
            <v>46350</v>
          </cell>
          <cell r="L749">
            <v>1570.4111842105262</v>
          </cell>
          <cell r="M749">
            <v>1.0164473684210527</v>
          </cell>
          <cell r="N749">
            <v>47112.335526315794</v>
          </cell>
        </row>
        <row r="750">
          <cell r="A750">
            <v>2003</v>
          </cell>
          <cell r="B750">
            <v>5</v>
          </cell>
          <cell r="C750">
            <v>1</v>
          </cell>
          <cell r="D750">
            <v>365</v>
          </cell>
          <cell r="E750">
            <v>2</v>
          </cell>
          <cell r="F750" t="str">
            <v>USD</v>
          </cell>
          <cell r="G750">
            <v>30</v>
          </cell>
          <cell r="H750">
            <v>1545</v>
          </cell>
          <cell r="I750">
            <v>1</v>
          </cell>
          <cell r="J750" t="str">
            <v>АК АПИБ "Агроинвестбанк"</v>
          </cell>
          <cell r="K750">
            <v>46350</v>
          </cell>
          <cell r="L750">
            <v>1570.4111842105262</v>
          </cell>
          <cell r="M750">
            <v>1.0164473684210527</v>
          </cell>
          <cell r="N750">
            <v>47112.335526315794</v>
          </cell>
        </row>
        <row r="751">
          <cell r="A751">
            <v>2003</v>
          </cell>
          <cell r="B751">
            <v>5</v>
          </cell>
          <cell r="C751">
            <v>1</v>
          </cell>
          <cell r="D751">
            <v>180</v>
          </cell>
          <cell r="E751">
            <v>2</v>
          </cell>
          <cell r="F751" t="str">
            <v>USD</v>
          </cell>
          <cell r="G751">
            <v>36</v>
          </cell>
          <cell r="H751">
            <v>3090</v>
          </cell>
          <cell r="I751">
            <v>2</v>
          </cell>
          <cell r="J751" t="str">
            <v>АК АПИБ "Агроинвестбанк"</v>
          </cell>
          <cell r="K751">
            <v>111240</v>
          </cell>
          <cell r="L751">
            <v>3140.8223684210525</v>
          </cell>
          <cell r="M751">
            <v>1.0164473684210527</v>
          </cell>
          <cell r="N751">
            <v>113069.6052631579</v>
          </cell>
        </row>
        <row r="752">
          <cell r="A752">
            <v>2003</v>
          </cell>
          <cell r="B752">
            <v>5</v>
          </cell>
          <cell r="C752">
            <v>1</v>
          </cell>
          <cell r="D752">
            <v>3</v>
          </cell>
          <cell r="E752">
            <v>2</v>
          </cell>
          <cell r="F752" t="str">
            <v>USD</v>
          </cell>
          <cell r="G752">
            <v>40</v>
          </cell>
          <cell r="H752">
            <v>1545</v>
          </cell>
          <cell r="I752">
            <v>1</v>
          </cell>
          <cell r="J752" t="str">
            <v>АК АПИБ "Агроинвестбанк"</v>
          </cell>
          <cell r="K752">
            <v>61800</v>
          </cell>
          <cell r="L752">
            <v>1570.4111842105262</v>
          </cell>
          <cell r="M752">
            <v>1.0164473684210527</v>
          </cell>
          <cell r="N752">
            <v>62816.44736842105</v>
          </cell>
        </row>
        <row r="753">
          <cell r="A753">
            <v>2003</v>
          </cell>
          <cell r="B753">
            <v>5</v>
          </cell>
          <cell r="C753">
            <v>1</v>
          </cell>
          <cell r="D753">
            <v>185</v>
          </cell>
          <cell r="E753">
            <v>2</v>
          </cell>
          <cell r="F753" t="str">
            <v>USD</v>
          </cell>
          <cell r="G753">
            <v>40</v>
          </cell>
          <cell r="H753">
            <v>3090</v>
          </cell>
          <cell r="I753">
            <v>2</v>
          </cell>
          <cell r="J753" t="str">
            <v>АК АПИБ "Агроинвестбанк"</v>
          </cell>
          <cell r="K753">
            <v>123600</v>
          </cell>
          <cell r="L753">
            <v>3140.8223684210525</v>
          </cell>
          <cell r="M753">
            <v>1.0164473684210527</v>
          </cell>
          <cell r="N753">
            <v>125632.8947368421</v>
          </cell>
        </row>
        <row r="754">
          <cell r="A754">
            <v>2003</v>
          </cell>
          <cell r="B754">
            <v>5</v>
          </cell>
          <cell r="C754">
            <v>1</v>
          </cell>
          <cell r="D754">
            <v>30</v>
          </cell>
          <cell r="E754">
            <v>2</v>
          </cell>
          <cell r="F754" t="str">
            <v>USD</v>
          </cell>
          <cell r="G754">
            <v>45</v>
          </cell>
          <cell r="H754">
            <v>3090</v>
          </cell>
          <cell r="I754">
            <v>2</v>
          </cell>
          <cell r="J754" t="str">
            <v>АК АПИБ "Агроинвестбанк"</v>
          </cell>
          <cell r="K754">
            <v>139050</v>
          </cell>
          <cell r="L754">
            <v>3140.8223684210525</v>
          </cell>
          <cell r="M754">
            <v>1.0164473684210527</v>
          </cell>
          <cell r="N754">
            <v>141337.00657894736</v>
          </cell>
        </row>
        <row r="755">
          <cell r="A755">
            <v>2003</v>
          </cell>
          <cell r="B755">
            <v>5</v>
          </cell>
          <cell r="C755">
            <v>1</v>
          </cell>
          <cell r="D755">
            <v>40</v>
          </cell>
          <cell r="E755">
            <v>2</v>
          </cell>
          <cell r="F755" t="str">
            <v>USD</v>
          </cell>
          <cell r="G755">
            <v>45</v>
          </cell>
          <cell r="H755">
            <v>927</v>
          </cell>
          <cell r="I755">
            <v>1</v>
          </cell>
          <cell r="J755" t="str">
            <v>АК АПИБ "Агроинвестбанк"</v>
          </cell>
          <cell r="K755">
            <v>41715</v>
          </cell>
          <cell r="L755">
            <v>942.2467105263158</v>
          </cell>
          <cell r="M755">
            <v>1.0164473684210527</v>
          </cell>
          <cell r="N755">
            <v>42401.10197368421</v>
          </cell>
        </row>
        <row r="756">
          <cell r="A756">
            <v>2003</v>
          </cell>
          <cell r="B756">
            <v>5</v>
          </cell>
          <cell r="C756">
            <v>1</v>
          </cell>
          <cell r="D756">
            <v>45</v>
          </cell>
          <cell r="E756">
            <v>2</v>
          </cell>
          <cell r="F756" t="str">
            <v>USD</v>
          </cell>
          <cell r="G756">
            <v>45</v>
          </cell>
          <cell r="H756">
            <v>3090</v>
          </cell>
          <cell r="I756">
            <v>2</v>
          </cell>
          <cell r="J756" t="str">
            <v>АК АПИБ "Агроинвестбанк"</v>
          </cell>
          <cell r="K756">
            <v>139050</v>
          </cell>
          <cell r="L756">
            <v>3140.8223684210525</v>
          </cell>
          <cell r="M756">
            <v>1.0164473684210527</v>
          </cell>
          <cell r="N756">
            <v>141337.00657894736</v>
          </cell>
        </row>
        <row r="757">
          <cell r="A757">
            <v>2003</v>
          </cell>
          <cell r="B757">
            <v>5</v>
          </cell>
          <cell r="C757">
            <v>2</v>
          </cell>
          <cell r="D757">
            <v>208</v>
          </cell>
          <cell r="E757">
            <v>1</v>
          </cell>
          <cell r="F757" t="str">
            <v>USD</v>
          </cell>
          <cell r="G757">
            <v>12</v>
          </cell>
          <cell r="H757">
            <v>118535</v>
          </cell>
          <cell r="I757">
            <v>1</v>
          </cell>
          <cell r="J757" t="str">
            <v>АК АПИБ "Агроинвестбанк"</v>
          </cell>
          <cell r="K757">
            <v>1422420</v>
          </cell>
          <cell r="L757">
            <v>120484.58881578948</v>
          </cell>
          <cell r="M757">
            <v>1.0164473684210527</v>
          </cell>
          <cell r="N757">
            <v>1445815.0657894737</v>
          </cell>
        </row>
        <row r="758">
          <cell r="A758">
            <v>2003</v>
          </cell>
          <cell r="B758">
            <v>5</v>
          </cell>
          <cell r="C758">
            <v>2</v>
          </cell>
          <cell r="D758">
            <v>209</v>
          </cell>
          <cell r="E758">
            <v>1</v>
          </cell>
          <cell r="F758" t="str">
            <v>USD</v>
          </cell>
          <cell r="G758">
            <v>12</v>
          </cell>
          <cell r="H758">
            <v>13052636</v>
          </cell>
          <cell r="I758">
            <v>2</v>
          </cell>
          <cell r="J758" t="str">
            <v>АК АПИБ "Агроинвестбанк"</v>
          </cell>
          <cell r="K758">
            <v>156631632</v>
          </cell>
          <cell r="L758">
            <v>13267317.513157895</v>
          </cell>
          <cell r="M758">
            <v>1.0164473684210527</v>
          </cell>
          <cell r="N758">
            <v>159207810.15789473</v>
          </cell>
        </row>
        <row r="759">
          <cell r="A759">
            <v>2003</v>
          </cell>
          <cell r="B759">
            <v>5</v>
          </cell>
          <cell r="C759">
            <v>2</v>
          </cell>
          <cell r="D759">
            <v>210</v>
          </cell>
          <cell r="E759">
            <v>1</v>
          </cell>
          <cell r="F759" t="str">
            <v>USD</v>
          </cell>
          <cell r="G759">
            <v>12</v>
          </cell>
          <cell r="H759">
            <v>2163000</v>
          </cell>
          <cell r="I759">
            <v>1</v>
          </cell>
          <cell r="J759" t="str">
            <v>АК АПИБ "Агроинвестбанк"</v>
          </cell>
          <cell r="K759">
            <v>25956000</v>
          </cell>
          <cell r="L759">
            <v>2198575.657894737</v>
          </cell>
          <cell r="M759">
            <v>1.0164473684210527</v>
          </cell>
          <cell r="N759">
            <v>26382907.89473684</v>
          </cell>
        </row>
        <row r="760">
          <cell r="A760">
            <v>2003</v>
          </cell>
          <cell r="B760">
            <v>5</v>
          </cell>
          <cell r="C760">
            <v>2</v>
          </cell>
          <cell r="D760">
            <v>213</v>
          </cell>
          <cell r="E760">
            <v>1</v>
          </cell>
          <cell r="F760" t="str">
            <v>USD</v>
          </cell>
          <cell r="G760">
            <v>12</v>
          </cell>
          <cell r="H760">
            <v>1865214</v>
          </cell>
          <cell r="I760">
            <v>3</v>
          </cell>
          <cell r="J760" t="str">
            <v>АК АПИБ "Агроинвестбанк"</v>
          </cell>
          <cell r="K760">
            <v>22382568</v>
          </cell>
          <cell r="L760">
            <v>1895891.8618421054</v>
          </cell>
          <cell r="M760">
            <v>1.0164473684210527</v>
          </cell>
          <cell r="N760">
            <v>22750702.342105262</v>
          </cell>
        </row>
        <row r="761">
          <cell r="A761">
            <v>2003</v>
          </cell>
          <cell r="B761">
            <v>5</v>
          </cell>
          <cell r="C761">
            <v>2</v>
          </cell>
          <cell r="D761">
            <v>216</v>
          </cell>
          <cell r="E761">
            <v>1</v>
          </cell>
          <cell r="F761" t="str">
            <v>USD</v>
          </cell>
          <cell r="G761">
            <v>12</v>
          </cell>
          <cell r="H761">
            <v>4944</v>
          </cell>
          <cell r="I761">
            <v>1</v>
          </cell>
          <cell r="J761" t="str">
            <v>АК АПИБ "Агроинвестбанк"</v>
          </cell>
          <cell r="K761">
            <v>59328</v>
          </cell>
          <cell r="L761">
            <v>5025.315789473684</v>
          </cell>
          <cell r="M761">
            <v>1.0164473684210527</v>
          </cell>
          <cell r="N761">
            <v>60303.78947368421</v>
          </cell>
        </row>
        <row r="762">
          <cell r="A762">
            <v>2003</v>
          </cell>
          <cell r="B762">
            <v>5</v>
          </cell>
          <cell r="C762">
            <v>2</v>
          </cell>
          <cell r="D762">
            <v>225</v>
          </cell>
          <cell r="E762">
            <v>1</v>
          </cell>
          <cell r="F762" t="str">
            <v>USD</v>
          </cell>
          <cell r="G762">
            <v>12</v>
          </cell>
          <cell r="H762">
            <v>2426000</v>
          </cell>
          <cell r="I762">
            <v>1</v>
          </cell>
          <cell r="J762" t="str">
            <v>АК АПИБ "Агроинвестбанк"</v>
          </cell>
          <cell r="K762">
            <v>29112000</v>
          </cell>
          <cell r="L762">
            <v>2465901.3157894737</v>
          </cell>
          <cell r="M762">
            <v>1.0164473684210527</v>
          </cell>
          <cell r="N762">
            <v>29590815.789473686</v>
          </cell>
        </row>
        <row r="763">
          <cell r="A763">
            <v>2003</v>
          </cell>
          <cell r="B763">
            <v>5</v>
          </cell>
          <cell r="C763">
            <v>2</v>
          </cell>
          <cell r="D763">
            <v>227</v>
          </cell>
          <cell r="E763">
            <v>1</v>
          </cell>
          <cell r="F763" t="str">
            <v>USD</v>
          </cell>
          <cell r="G763">
            <v>12</v>
          </cell>
          <cell r="H763">
            <v>970260</v>
          </cell>
          <cell r="I763">
            <v>1</v>
          </cell>
          <cell r="J763" t="str">
            <v>АК АПИБ "Агроинвестбанк"</v>
          </cell>
          <cell r="K763">
            <v>11643120</v>
          </cell>
          <cell r="L763">
            <v>986218.2236842106</v>
          </cell>
          <cell r="M763">
            <v>1.0164473684210527</v>
          </cell>
          <cell r="N763">
            <v>11834618.684210526</v>
          </cell>
        </row>
        <row r="764">
          <cell r="A764">
            <v>2003</v>
          </cell>
          <cell r="B764">
            <v>5</v>
          </cell>
          <cell r="C764">
            <v>2</v>
          </cell>
          <cell r="D764">
            <v>231</v>
          </cell>
          <cell r="E764">
            <v>1</v>
          </cell>
          <cell r="F764" t="str">
            <v>USD</v>
          </cell>
          <cell r="G764">
            <v>12</v>
          </cell>
          <cell r="H764">
            <v>5253600</v>
          </cell>
          <cell r="I764">
            <v>6</v>
          </cell>
          <cell r="J764" t="str">
            <v>АК АПИБ "Агроинвестбанк"</v>
          </cell>
          <cell r="K764">
            <v>63043200</v>
          </cell>
          <cell r="L764">
            <v>5340007.894736842</v>
          </cell>
          <cell r="M764">
            <v>1.0164473684210527</v>
          </cell>
          <cell r="N764">
            <v>64080094.7368421</v>
          </cell>
        </row>
        <row r="765">
          <cell r="A765">
            <v>2003</v>
          </cell>
          <cell r="B765">
            <v>5</v>
          </cell>
          <cell r="C765">
            <v>2</v>
          </cell>
          <cell r="D765">
            <v>232</v>
          </cell>
          <cell r="E765">
            <v>1</v>
          </cell>
          <cell r="F765" t="str">
            <v>USD</v>
          </cell>
          <cell r="G765">
            <v>12</v>
          </cell>
          <cell r="H765">
            <v>1977000</v>
          </cell>
          <cell r="I765">
            <v>2</v>
          </cell>
          <cell r="J765" t="str">
            <v>АК АПИБ "Агроинвестбанк"</v>
          </cell>
          <cell r="K765">
            <v>23724000</v>
          </cell>
          <cell r="L765">
            <v>2009516.4473684211</v>
          </cell>
          <cell r="M765">
            <v>1.0164473684210527</v>
          </cell>
          <cell r="N765">
            <v>24114197.36842105</v>
          </cell>
        </row>
        <row r="766">
          <cell r="A766">
            <v>2003</v>
          </cell>
          <cell r="B766">
            <v>5</v>
          </cell>
          <cell r="C766">
            <v>2</v>
          </cell>
          <cell r="D766">
            <v>234</v>
          </cell>
          <cell r="E766">
            <v>1</v>
          </cell>
          <cell r="F766" t="str">
            <v>USD</v>
          </cell>
          <cell r="G766">
            <v>12</v>
          </cell>
          <cell r="H766">
            <v>2165318</v>
          </cell>
          <cell r="I766">
            <v>1</v>
          </cell>
          <cell r="J766" t="str">
            <v>АК АПИБ "Агроинвестбанк"</v>
          </cell>
          <cell r="K766">
            <v>25983816</v>
          </cell>
          <cell r="L766">
            <v>2200931.782894737</v>
          </cell>
          <cell r="M766">
            <v>1.0164473684210527</v>
          </cell>
          <cell r="N766">
            <v>26411181.39473684</v>
          </cell>
        </row>
        <row r="767">
          <cell r="A767">
            <v>2003</v>
          </cell>
          <cell r="B767">
            <v>5</v>
          </cell>
          <cell r="C767">
            <v>1</v>
          </cell>
          <cell r="D767">
            <v>180</v>
          </cell>
          <cell r="E767">
            <v>1</v>
          </cell>
          <cell r="F767" t="str">
            <v>USD</v>
          </cell>
          <cell r="G767">
            <v>45</v>
          </cell>
          <cell r="H767">
            <v>31031</v>
          </cell>
          <cell r="I767">
            <v>1</v>
          </cell>
          <cell r="J767" t="str">
            <v>АК АПИБ "Агроинвестбанк"</v>
          </cell>
          <cell r="K767">
            <v>1396395</v>
          </cell>
          <cell r="L767">
            <v>31541.378289473683</v>
          </cell>
          <cell r="M767">
            <v>1.0164473684210527</v>
          </cell>
          <cell r="N767">
            <v>1419362.0230263157</v>
          </cell>
        </row>
        <row r="768">
          <cell r="A768">
            <v>2003</v>
          </cell>
          <cell r="B768">
            <v>5</v>
          </cell>
          <cell r="C768">
            <v>3</v>
          </cell>
          <cell r="D768">
            <v>360</v>
          </cell>
          <cell r="E768">
            <v>1</v>
          </cell>
          <cell r="F768" t="str">
            <v>TJS</v>
          </cell>
          <cell r="G768">
            <v>0</v>
          </cell>
          <cell r="H768">
            <v>70000</v>
          </cell>
          <cell r="I768">
            <v>1</v>
          </cell>
          <cell r="J768" t="str">
            <v>АКБ "Эсхата"</v>
          </cell>
          <cell r="K768">
            <v>0</v>
          </cell>
          <cell r="L768">
            <v>70000</v>
          </cell>
          <cell r="M768">
            <v>1</v>
          </cell>
          <cell r="N768">
            <v>0</v>
          </cell>
        </row>
        <row r="769">
          <cell r="A769">
            <v>2003</v>
          </cell>
          <cell r="B769">
            <v>5</v>
          </cell>
          <cell r="C769">
            <v>3</v>
          </cell>
          <cell r="D769">
            <v>360</v>
          </cell>
          <cell r="E769">
            <v>1</v>
          </cell>
          <cell r="F769" t="str">
            <v>TJS</v>
          </cell>
          <cell r="G769">
            <v>20</v>
          </cell>
          <cell r="H769">
            <v>370000</v>
          </cell>
          <cell r="I769">
            <v>1</v>
          </cell>
          <cell r="J769" t="str">
            <v>АКБ "Эсхата"</v>
          </cell>
          <cell r="K769">
            <v>7400000</v>
          </cell>
          <cell r="L769">
            <v>370000</v>
          </cell>
          <cell r="M769">
            <v>1</v>
          </cell>
          <cell r="N769">
            <v>7400000</v>
          </cell>
        </row>
        <row r="770">
          <cell r="A770">
            <v>2003</v>
          </cell>
          <cell r="B770">
            <v>5</v>
          </cell>
          <cell r="C770">
            <v>3</v>
          </cell>
          <cell r="D770">
            <v>300</v>
          </cell>
          <cell r="E770">
            <v>1</v>
          </cell>
          <cell r="F770" t="str">
            <v>TJS</v>
          </cell>
          <cell r="G770">
            <v>36</v>
          </cell>
          <cell r="H770">
            <v>70000</v>
          </cell>
          <cell r="I770">
            <v>1</v>
          </cell>
          <cell r="J770" t="str">
            <v>АКБ "Эсхата"</v>
          </cell>
          <cell r="K770">
            <v>2520000</v>
          </cell>
          <cell r="L770">
            <v>70000</v>
          </cell>
          <cell r="M770">
            <v>1</v>
          </cell>
          <cell r="N770">
            <v>2520000</v>
          </cell>
        </row>
        <row r="771">
          <cell r="A771">
            <v>2003</v>
          </cell>
          <cell r="B771">
            <v>5</v>
          </cell>
          <cell r="C771">
            <v>1</v>
          </cell>
          <cell r="D771">
            <v>90</v>
          </cell>
          <cell r="E771">
            <v>1</v>
          </cell>
          <cell r="F771" t="str">
            <v>TJS</v>
          </cell>
          <cell r="G771">
            <v>52</v>
          </cell>
          <cell r="H771">
            <v>25000</v>
          </cell>
          <cell r="I771">
            <v>1</v>
          </cell>
          <cell r="J771" t="str">
            <v>АКБ "Эсхата"</v>
          </cell>
          <cell r="K771">
            <v>1300000</v>
          </cell>
          <cell r="L771">
            <v>25000</v>
          </cell>
          <cell r="M771">
            <v>1</v>
          </cell>
          <cell r="N771">
            <v>1300000</v>
          </cell>
        </row>
        <row r="772">
          <cell r="A772">
            <v>2003</v>
          </cell>
          <cell r="B772">
            <v>5</v>
          </cell>
          <cell r="C772">
            <v>1</v>
          </cell>
          <cell r="D772">
            <v>90</v>
          </cell>
          <cell r="E772">
            <v>1</v>
          </cell>
          <cell r="F772" t="str">
            <v>TJS</v>
          </cell>
          <cell r="G772">
            <v>48</v>
          </cell>
          <cell r="H772">
            <v>40000</v>
          </cell>
          <cell r="I772">
            <v>1</v>
          </cell>
          <cell r="J772" t="str">
            <v>АКБ "Эсхата"</v>
          </cell>
          <cell r="K772">
            <v>1920000</v>
          </cell>
          <cell r="L772">
            <v>40000</v>
          </cell>
          <cell r="M772">
            <v>1</v>
          </cell>
          <cell r="N772">
            <v>1920000</v>
          </cell>
        </row>
        <row r="773">
          <cell r="A773">
            <v>2003</v>
          </cell>
          <cell r="B773">
            <v>5</v>
          </cell>
          <cell r="C773">
            <v>1</v>
          </cell>
          <cell r="D773">
            <v>90</v>
          </cell>
          <cell r="E773">
            <v>2</v>
          </cell>
          <cell r="F773" t="str">
            <v>TJS</v>
          </cell>
          <cell r="G773">
            <v>40</v>
          </cell>
          <cell r="H773">
            <v>15000</v>
          </cell>
          <cell r="I773">
            <v>1</v>
          </cell>
          <cell r="J773" t="str">
            <v>АКБ "Эсхата"</v>
          </cell>
          <cell r="K773">
            <v>600000</v>
          </cell>
          <cell r="L773">
            <v>15000</v>
          </cell>
          <cell r="M773">
            <v>1</v>
          </cell>
          <cell r="N773">
            <v>600000</v>
          </cell>
        </row>
        <row r="774">
          <cell r="A774">
            <v>2003</v>
          </cell>
          <cell r="B774">
            <v>5</v>
          </cell>
          <cell r="C774">
            <v>1</v>
          </cell>
          <cell r="D774">
            <v>90</v>
          </cell>
          <cell r="E774">
            <v>1</v>
          </cell>
          <cell r="F774" t="str">
            <v>TJS</v>
          </cell>
          <cell r="G774">
            <v>28</v>
          </cell>
          <cell r="H774">
            <v>84048</v>
          </cell>
          <cell r="I774">
            <v>1</v>
          </cell>
          <cell r="J774" t="str">
            <v>АКБ "Эсхата"</v>
          </cell>
          <cell r="K774">
            <v>2353344</v>
          </cell>
          <cell r="L774">
            <v>84048</v>
          </cell>
          <cell r="M774">
            <v>1</v>
          </cell>
          <cell r="N774">
            <v>2353344</v>
          </cell>
        </row>
        <row r="775">
          <cell r="A775">
            <v>2003</v>
          </cell>
          <cell r="B775">
            <v>5</v>
          </cell>
          <cell r="C775">
            <v>1</v>
          </cell>
          <cell r="D775">
            <v>90</v>
          </cell>
          <cell r="E775">
            <v>2</v>
          </cell>
          <cell r="F775" t="str">
            <v>USD</v>
          </cell>
          <cell r="G775">
            <v>36</v>
          </cell>
          <cell r="H775">
            <v>9270</v>
          </cell>
          <cell r="I775">
            <v>1</v>
          </cell>
          <cell r="J775" t="str">
            <v>АКБ "Эсхата"</v>
          </cell>
          <cell r="K775">
            <v>333720</v>
          </cell>
          <cell r="L775">
            <v>9422.467105263158</v>
          </cell>
          <cell r="M775">
            <v>1.0164473684210527</v>
          </cell>
          <cell r="N775">
            <v>339208.8157894737</v>
          </cell>
        </row>
        <row r="776">
          <cell r="A776">
            <v>2003</v>
          </cell>
          <cell r="B776">
            <v>5</v>
          </cell>
          <cell r="C776">
            <v>1</v>
          </cell>
          <cell r="D776">
            <v>90</v>
          </cell>
          <cell r="E776">
            <v>2</v>
          </cell>
          <cell r="F776" t="str">
            <v>USD</v>
          </cell>
          <cell r="G776">
            <v>30</v>
          </cell>
          <cell r="H776">
            <v>12360</v>
          </cell>
          <cell r="I776">
            <v>1</v>
          </cell>
          <cell r="J776" t="str">
            <v>АКБ "Эсхата"</v>
          </cell>
          <cell r="K776">
            <v>370800</v>
          </cell>
          <cell r="L776">
            <v>12563.28947368421</v>
          </cell>
          <cell r="M776">
            <v>1.0164473684210527</v>
          </cell>
          <cell r="N776">
            <v>376898.68421052635</v>
          </cell>
        </row>
        <row r="777">
          <cell r="A777">
            <v>2003</v>
          </cell>
          <cell r="B777">
            <v>5</v>
          </cell>
          <cell r="C777">
            <v>1</v>
          </cell>
          <cell r="D777">
            <v>90</v>
          </cell>
          <cell r="E777">
            <v>2</v>
          </cell>
          <cell r="F777" t="str">
            <v>USD</v>
          </cell>
          <cell r="G777">
            <v>40</v>
          </cell>
          <cell r="H777">
            <v>38625</v>
          </cell>
          <cell r="I777">
            <v>2</v>
          </cell>
          <cell r="J777" t="str">
            <v>АКБ "Эсхата"</v>
          </cell>
          <cell r="K777">
            <v>1545000</v>
          </cell>
          <cell r="L777">
            <v>39260.27960526316</v>
          </cell>
          <cell r="M777">
            <v>1.0164473684210527</v>
          </cell>
          <cell r="N777">
            <v>1570411.1842105263</v>
          </cell>
        </row>
        <row r="778">
          <cell r="A778">
            <v>2003</v>
          </cell>
          <cell r="B778">
            <v>5</v>
          </cell>
          <cell r="C778">
            <v>1</v>
          </cell>
          <cell r="D778">
            <v>180</v>
          </cell>
          <cell r="E778">
            <v>2</v>
          </cell>
          <cell r="F778" t="str">
            <v>TJS</v>
          </cell>
          <cell r="G778">
            <v>36</v>
          </cell>
          <cell r="H778">
            <v>2500</v>
          </cell>
          <cell r="I778">
            <v>1</v>
          </cell>
          <cell r="J778" t="str">
            <v>АОЗТ"Кафолат"</v>
          </cell>
          <cell r="K778">
            <v>90000</v>
          </cell>
          <cell r="L778">
            <v>2500</v>
          </cell>
          <cell r="M778">
            <v>1</v>
          </cell>
          <cell r="N778">
            <v>90000</v>
          </cell>
        </row>
        <row r="779">
          <cell r="A779">
            <v>2003</v>
          </cell>
          <cell r="B779">
            <v>5</v>
          </cell>
          <cell r="C779">
            <v>1</v>
          </cell>
          <cell r="D779">
            <v>30</v>
          </cell>
          <cell r="E779">
            <v>2</v>
          </cell>
          <cell r="F779" t="str">
            <v>TJS</v>
          </cell>
          <cell r="G779">
            <v>36</v>
          </cell>
          <cell r="H779">
            <v>1000</v>
          </cell>
          <cell r="I779">
            <v>1</v>
          </cell>
          <cell r="J779" t="str">
            <v>АОЗТ"Кафолат"</v>
          </cell>
          <cell r="K779">
            <v>36000</v>
          </cell>
          <cell r="L779">
            <v>1000</v>
          </cell>
          <cell r="M779">
            <v>1</v>
          </cell>
          <cell r="N779">
            <v>36000</v>
          </cell>
        </row>
        <row r="780">
          <cell r="A780">
            <v>2003</v>
          </cell>
          <cell r="B780">
            <v>5</v>
          </cell>
          <cell r="C780">
            <v>1</v>
          </cell>
          <cell r="D780">
            <v>270</v>
          </cell>
          <cell r="E780">
            <v>2</v>
          </cell>
          <cell r="F780" t="str">
            <v>TJS</v>
          </cell>
          <cell r="G780">
            <v>32</v>
          </cell>
          <cell r="H780">
            <v>2500</v>
          </cell>
          <cell r="I780">
            <v>1</v>
          </cell>
          <cell r="J780" t="str">
            <v>АОЗТ"Кафолат"</v>
          </cell>
          <cell r="K780">
            <v>80000</v>
          </cell>
          <cell r="L780">
            <v>2500</v>
          </cell>
          <cell r="M780">
            <v>1</v>
          </cell>
          <cell r="N780">
            <v>80000</v>
          </cell>
        </row>
        <row r="781">
          <cell r="A781">
            <v>2003</v>
          </cell>
          <cell r="B781">
            <v>5</v>
          </cell>
          <cell r="C781">
            <v>1</v>
          </cell>
          <cell r="D781">
            <v>60</v>
          </cell>
          <cell r="E781">
            <v>1</v>
          </cell>
          <cell r="F781" t="str">
            <v>TJS</v>
          </cell>
          <cell r="G781">
            <v>32</v>
          </cell>
          <cell r="H781">
            <v>15000</v>
          </cell>
          <cell r="I781">
            <v>1</v>
          </cell>
          <cell r="J781" t="str">
            <v>АОЗТ"Кафолат"</v>
          </cell>
          <cell r="K781">
            <v>480000</v>
          </cell>
          <cell r="L781">
            <v>15000</v>
          </cell>
          <cell r="M781">
            <v>1</v>
          </cell>
          <cell r="N781">
            <v>480000</v>
          </cell>
        </row>
        <row r="782">
          <cell r="A782">
            <v>2003</v>
          </cell>
          <cell r="B782">
            <v>5</v>
          </cell>
          <cell r="C782">
            <v>3</v>
          </cell>
          <cell r="D782">
            <v>120</v>
          </cell>
          <cell r="E782">
            <v>1</v>
          </cell>
          <cell r="F782" t="str">
            <v>TJS</v>
          </cell>
          <cell r="G782">
            <v>12</v>
          </cell>
          <cell r="H782">
            <v>40000</v>
          </cell>
          <cell r="I782">
            <v>1</v>
          </cell>
          <cell r="J782" t="str">
            <v>АОЗТ"Кафолат"</v>
          </cell>
          <cell r="K782">
            <v>480000</v>
          </cell>
          <cell r="L782">
            <v>40000</v>
          </cell>
          <cell r="M782">
            <v>1</v>
          </cell>
          <cell r="N782">
            <v>480000</v>
          </cell>
        </row>
        <row r="783">
          <cell r="A783">
            <v>2003</v>
          </cell>
          <cell r="B783">
            <v>5</v>
          </cell>
          <cell r="C783">
            <v>3</v>
          </cell>
          <cell r="D783">
            <v>360</v>
          </cell>
          <cell r="E783">
            <v>1</v>
          </cell>
          <cell r="F783" t="str">
            <v>TJS</v>
          </cell>
          <cell r="G783">
            <v>12</v>
          </cell>
          <cell r="H783">
            <v>35600</v>
          </cell>
          <cell r="I783">
            <v>3</v>
          </cell>
          <cell r="J783" t="str">
            <v>АОЗТ"Кафолат"</v>
          </cell>
          <cell r="K783">
            <v>427200</v>
          </cell>
          <cell r="L783">
            <v>35600</v>
          </cell>
          <cell r="M783">
            <v>1</v>
          </cell>
          <cell r="N783">
            <v>427200</v>
          </cell>
        </row>
        <row r="784">
          <cell r="A784">
            <v>2003</v>
          </cell>
          <cell r="B784">
            <v>5</v>
          </cell>
          <cell r="C784">
            <v>1</v>
          </cell>
          <cell r="D784">
            <v>360</v>
          </cell>
          <cell r="E784">
            <v>2</v>
          </cell>
          <cell r="F784" t="str">
            <v>TJS</v>
          </cell>
          <cell r="G784">
            <v>36</v>
          </cell>
          <cell r="H784">
            <v>300</v>
          </cell>
          <cell r="I784">
            <v>1</v>
          </cell>
          <cell r="J784" t="str">
            <v>АОЗТ"Кафолат"</v>
          </cell>
          <cell r="K784">
            <v>10800</v>
          </cell>
          <cell r="L784">
            <v>300</v>
          </cell>
          <cell r="M784">
            <v>1</v>
          </cell>
          <cell r="N784">
            <v>10800</v>
          </cell>
        </row>
        <row r="785">
          <cell r="A785">
            <v>2003</v>
          </cell>
          <cell r="B785">
            <v>5</v>
          </cell>
          <cell r="C785">
            <v>3</v>
          </cell>
          <cell r="D785">
            <v>30</v>
          </cell>
          <cell r="E785">
            <v>1</v>
          </cell>
          <cell r="F785" t="str">
            <v>TJS</v>
          </cell>
          <cell r="G785">
            <v>12</v>
          </cell>
          <cell r="H785">
            <v>16500</v>
          </cell>
          <cell r="I785">
            <v>2</v>
          </cell>
          <cell r="J785" t="str">
            <v>АОЗТ"Кафолат"</v>
          </cell>
          <cell r="K785">
            <v>198000</v>
          </cell>
          <cell r="L785">
            <v>16500</v>
          </cell>
          <cell r="M785">
            <v>1</v>
          </cell>
          <cell r="N785">
            <v>198000</v>
          </cell>
        </row>
        <row r="786">
          <cell r="A786">
            <v>2003</v>
          </cell>
          <cell r="B786">
            <v>5</v>
          </cell>
          <cell r="C786">
            <v>1</v>
          </cell>
          <cell r="D786">
            <v>90</v>
          </cell>
          <cell r="E786">
            <v>1</v>
          </cell>
          <cell r="F786" t="str">
            <v>TJS</v>
          </cell>
          <cell r="G786">
            <v>12</v>
          </cell>
          <cell r="H786">
            <v>32000</v>
          </cell>
          <cell r="I786">
            <v>1</v>
          </cell>
          <cell r="J786" t="str">
            <v>АОЗТ"Кафолат"</v>
          </cell>
          <cell r="K786">
            <v>384000</v>
          </cell>
          <cell r="L786">
            <v>32000</v>
          </cell>
          <cell r="M786">
            <v>1</v>
          </cell>
          <cell r="N786">
            <v>384000</v>
          </cell>
        </row>
        <row r="787">
          <cell r="A787">
            <v>2003</v>
          </cell>
          <cell r="B787">
            <v>5</v>
          </cell>
          <cell r="C787">
            <v>3</v>
          </cell>
          <cell r="D787">
            <v>360</v>
          </cell>
          <cell r="E787">
            <v>1</v>
          </cell>
          <cell r="F787" t="str">
            <v>TJS</v>
          </cell>
          <cell r="G787">
            <v>12</v>
          </cell>
          <cell r="H787">
            <v>12030</v>
          </cell>
          <cell r="I787">
            <v>2</v>
          </cell>
          <cell r="J787" t="str">
            <v>АОЗТ"Кафолат"</v>
          </cell>
          <cell r="K787">
            <v>144360</v>
          </cell>
          <cell r="L787">
            <v>12030</v>
          </cell>
          <cell r="M787">
            <v>1</v>
          </cell>
          <cell r="N787">
            <v>144360</v>
          </cell>
        </row>
        <row r="788">
          <cell r="A788">
            <v>2003</v>
          </cell>
          <cell r="B788">
            <v>5</v>
          </cell>
          <cell r="C788">
            <v>1</v>
          </cell>
          <cell r="D788">
            <v>150</v>
          </cell>
          <cell r="E788">
            <v>2</v>
          </cell>
          <cell r="F788" t="str">
            <v>TJS</v>
          </cell>
          <cell r="G788">
            <v>36</v>
          </cell>
          <cell r="H788">
            <v>19000</v>
          </cell>
          <cell r="I788">
            <v>1</v>
          </cell>
          <cell r="J788" t="str">
            <v>АОЗТ"Кафолат"</v>
          </cell>
          <cell r="K788">
            <v>684000</v>
          </cell>
          <cell r="L788">
            <v>19000</v>
          </cell>
          <cell r="M788">
            <v>1</v>
          </cell>
          <cell r="N788">
            <v>684000</v>
          </cell>
        </row>
        <row r="789">
          <cell r="A789">
            <v>2003</v>
          </cell>
          <cell r="B789">
            <v>5</v>
          </cell>
          <cell r="C789">
            <v>1</v>
          </cell>
          <cell r="D789">
            <v>180</v>
          </cell>
          <cell r="E789">
            <v>2</v>
          </cell>
          <cell r="F789" t="str">
            <v>USD</v>
          </cell>
          <cell r="G789">
            <v>36</v>
          </cell>
          <cell r="H789">
            <v>18540</v>
          </cell>
          <cell r="I789">
            <v>2</v>
          </cell>
          <cell r="J789" t="str">
            <v>АОЗТ"Кафолат"</v>
          </cell>
          <cell r="K789">
            <v>667440</v>
          </cell>
          <cell r="L789">
            <v>18844.934210526317</v>
          </cell>
          <cell r="M789">
            <v>1.0164473684210527</v>
          </cell>
          <cell r="N789">
            <v>678417.6315789474</v>
          </cell>
        </row>
        <row r="790">
          <cell r="A790">
            <v>2003</v>
          </cell>
          <cell r="B790">
            <v>5</v>
          </cell>
          <cell r="C790">
            <v>1</v>
          </cell>
          <cell r="D790">
            <v>60</v>
          </cell>
          <cell r="E790">
            <v>2</v>
          </cell>
          <cell r="F790" t="str">
            <v>USD</v>
          </cell>
          <cell r="G790">
            <v>40</v>
          </cell>
          <cell r="H790">
            <v>927</v>
          </cell>
          <cell r="I790">
            <v>1</v>
          </cell>
          <cell r="J790" t="str">
            <v>АОЗТ"Кафолат"</v>
          </cell>
          <cell r="K790">
            <v>37080</v>
          </cell>
          <cell r="L790">
            <v>942.2467105263158</v>
          </cell>
          <cell r="M790">
            <v>1.0164473684210527</v>
          </cell>
          <cell r="N790">
            <v>37689.86842105263</v>
          </cell>
        </row>
        <row r="791">
          <cell r="A791">
            <v>2003</v>
          </cell>
          <cell r="B791">
            <v>5</v>
          </cell>
          <cell r="C791">
            <v>1</v>
          </cell>
          <cell r="D791">
            <v>90</v>
          </cell>
          <cell r="E791">
            <v>2</v>
          </cell>
          <cell r="F791" t="str">
            <v>USD</v>
          </cell>
          <cell r="G791">
            <v>36</v>
          </cell>
          <cell r="H791">
            <v>618</v>
          </cell>
          <cell r="I791">
            <v>1</v>
          </cell>
          <cell r="J791" t="str">
            <v>АОЗТ"Кафолат"</v>
          </cell>
          <cell r="K791">
            <v>22248</v>
          </cell>
          <cell r="L791">
            <v>628.1644736842105</v>
          </cell>
          <cell r="M791">
            <v>1.0164473684210527</v>
          </cell>
          <cell r="N791">
            <v>22613.92105263158</v>
          </cell>
        </row>
        <row r="792">
          <cell r="A792">
            <v>2003</v>
          </cell>
          <cell r="B792">
            <v>5</v>
          </cell>
          <cell r="C792">
            <v>1</v>
          </cell>
          <cell r="D792">
            <v>180</v>
          </cell>
          <cell r="E792">
            <v>2</v>
          </cell>
          <cell r="F792" t="str">
            <v>USD</v>
          </cell>
          <cell r="G792">
            <v>30</v>
          </cell>
          <cell r="H792">
            <v>309</v>
          </cell>
          <cell r="I792">
            <v>1</v>
          </cell>
          <cell r="J792" t="str">
            <v>АОЗТ"Кафолат"</v>
          </cell>
          <cell r="K792">
            <v>9270</v>
          </cell>
          <cell r="L792">
            <v>314.08223684210526</v>
          </cell>
          <cell r="M792">
            <v>1.0164473684210527</v>
          </cell>
          <cell r="N792">
            <v>9422.467105263158</v>
          </cell>
        </row>
        <row r="793">
          <cell r="A793">
            <v>2003</v>
          </cell>
          <cell r="B793">
            <v>5</v>
          </cell>
          <cell r="C793">
            <v>1</v>
          </cell>
          <cell r="D793">
            <v>360</v>
          </cell>
          <cell r="E793">
            <v>2</v>
          </cell>
          <cell r="F793" t="str">
            <v>USD</v>
          </cell>
          <cell r="G793">
            <v>36</v>
          </cell>
          <cell r="H793">
            <v>15914</v>
          </cell>
          <cell r="I793">
            <v>2</v>
          </cell>
          <cell r="J793" t="str">
            <v>АОЗТ"Кафолат"</v>
          </cell>
          <cell r="K793">
            <v>572904</v>
          </cell>
          <cell r="L793">
            <v>16175.743421052632</v>
          </cell>
          <cell r="M793">
            <v>1.0164473684210527</v>
          </cell>
          <cell r="N793">
            <v>582326.7631578947</v>
          </cell>
        </row>
        <row r="794">
          <cell r="A794">
            <v>2003</v>
          </cell>
          <cell r="B794">
            <v>5</v>
          </cell>
          <cell r="C794">
            <v>1</v>
          </cell>
          <cell r="D794">
            <v>60</v>
          </cell>
          <cell r="E794">
            <v>2</v>
          </cell>
          <cell r="F794" t="str">
            <v>USD</v>
          </cell>
          <cell r="G794">
            <v>36</v>
          </cell>
          <cell r="H794">
            <v>5408</v>
          </cell>
          <cell r="I794">
            <v>1</v>
          </cell>
          <cell r="J794" t="str">
            <v>АОЗТ"Кафолат"</v>
          </cell>
          <cell r="K794">
            <v>194688</v>
          </cell>
          <cell r="L794">
            <v>5496.9473684210525</v>
          </cell>
          <cell r="M794">
            <v>1.0164473684210527</v>
          </cell>
          <cell r="N794">
            <v>197890.1052631579</v>
          </cell>
        </row>
        <row r="795">
          <cell r="A795">
            <v>2003</v>
          </cell>
          <cell r="B795">
            <v>5</v>
          </cell>
          <cell r="C795">
            <v>1</v>
          </cell>
          <cell r="D795">
            <v>90</v>
          </cell>
          <cell r="E795">
            <v>2</v>
          </cell>
          <cell r="F795" t="str">
            <v>USD</v>
          </cell>
          <cell r="G795">
            <v>42</v>
          </cell>
          <cell r="H795">
            <v>3399</v>
          </cell>
          <cell r="I795">
            <v>1</v>
          </cell>
          <cell r="J795" t="str">
            <v>АОЗТ"Кафолат"</v>
          </cell>
          <cell r="K795">
            <v>142758</v>
          </cell>
          <cell r="L795">
            <v>3454.904605263158</v>
          </cell>
          <cell r="M795">
            <v>1.0164473684210527</v>
          </cell>
          <cell r="N795">
            <v>145105.99342105264</v>
          </cell>
        </row>
        <row r="796">
          <cell r="A796">
            <v>2003</v>
          </cell>
          <cell r="B796">
            <v>5</v>
          </cell>
          <cell r="C796">
            <v>1</v>
          </cell>
          <cell r="D796">
            <v>90</v>
          </cell>
          <cell r="E796">
            <v>2</v>
          </cell>
          <cell r="F796" t="str">
            <v>USD</v>
          </cell>
          <cell r="G796">
            <v>40</v>
          </cell>
          <cell r="H796">
            <v>9270</v>
          </cell>
          <cell r="I796">
            <v>1</v>
          </cell>
          <cell r="J796" t="str">
            <v>АОЗТ"Кафолат"</v>
          </cell>
          <cell r="K796">
            <v>370800</v>
          </cell>
          <cell r="L796">
            <v>9422.467105263158</v>
          </cell>
          <cell r="M796">
            <v>1.0164473684210527</v>
          </cell>
          <cell r="N796">
            <v>376898.68421052635</v>
          </cell>
        </row>
        <row r="797">
          <cell r="A797">
            <v>2003</v>
          </cell>
          <cell r="B797">
            <v>5</v>
          </cell>
          <cell r="C797">
            <v>1</v>
          </cell>
          <cell r="D797">
            <v>360</v>
          </cell>
          <cell r="E797">
            <v>2</v>
          </cell>
          <cell r="F797" t="str">
            <v>TJS</v>
          </cell>
          <cell r="G797">
            <v>20</v>
          </cell>
          <cell r="H797">
            <v>30000</v>
          </cell>
          <cell r="I797">
            <v>1</v>
          </cell>
          <cell r="J797" t="str">
            <v>АОЗТ "Олимп"</v>
          </cell>
          <cell r="K797">
            <v>600000</v>
          </cell>
          <cell r="L797">
            <v>30000</v>
          </cell>
          <cell r="M797">
            <v>1</v>
          </cell>
          <cell r="N797">
            <v>600000</v>
          </cell>
        </row>
        <row r="798">
          <cell r="A798">
            <v>2003</v>
          </cell>
          <cell r="B798">
            <v>5</v>
          </cell>
          <cell r="C798">
            <v>1</v>
          </cell>
          <cell r="D798">
            <v>360</v>
          </cell>
          <cell r="E798">
            <v>2</v>
          </cell>
          <cell r="F798" t="str">
            <v>TJS</v>
          </cell>
          <cell r="G798">
            <v>24</v>
          </cell>
          <cell r="H798">
            <v>638000</v>
          </cell>
          <cell r="I798">
            <v>2</v>
          </cell>
          <cell r="J798" t="str">
            <v>АОЗТ "Олимп"</v>
          </cell>
          <cell r="K798">
            <v>15312000</v>
          </cell>
          <cell r="L798">
            <v>638000</v>
          </cell>
          <cell r="M798">
            <v>1</v>
          </cell>
          <cell r="N798">
            <v>15312000</v>
          </cell>
        </row>
        <row r="799">
          <cell r="A799">
            <v>2003</v>
          </cell>
          <cell r="B799">
            <v>5</v>
          </cell>
          <cell r="C799">
            <v>1</v>
          </cell>
          <cell r="D799">
            <v>240</v>
          </cell>
          <cell r="E799">
            <v>2</v>
          </cell>
          <cell r="F799" t="str">
            <v>TJS</v>
          </cell>
          <cell r="G799">
            <v>30</v>
          </cell>
          <cell r="H799">
            <v>8000</v>
          </cell>
          <cell r="I799">
            <v>1</v>
          </cell>
          <cell r="J799" t="str">
            <v>АОЗТ "Олимп"</v>
          </cell>
          <cell r="K799">
            <v>240000</v>
          </cell>
          <cell r="L799">
            <v>8000</v>
          </cell>
          <cell r="M799">
            <v>1</v>
          </cell>
          <cell r="N799">
            <v>240000</v>
          </cell>
        </row>
        <row r="800">
          <cell r="A800">
            <v>2003</v>
          </cell>
          <cell r="B800">
            <v>5</v>
          </cell>
          <cell r="C800">
            <v>1</v>
          </cell>
          <cell r="D800">
            <v>180</v>
          </cell>
          <cell r="E800">
            <v>2</v>
          </cell>
          <cell r="F800" t="str">
            <v>TJS</v>
          </cell>
          <cell r="G800">
            <v>30</v>
          </cell>
          <cell r="H800">
            <v>17000</v>
          </cell>
          <cell r="I800">
            <v>1</v>
          </cell>
          <cell r="J800" t="str">
            <v>АОЗТ "Олимп"</v>
          </cell>
          <cell r="K800">
            <v>510000</v>
          </cell>
          <cell r="L800">
            <v>17000</v>
          </cell>
          <cell r="M800">
            <v>1</v>
          </cell>
          <cell r="N800">
            <v>510000</v>
          </cell>
        </row>
        <row r="801">
          <cell r="A801">
            <v>2003</v>
          </cell>
          <cell r="B801">
            <v>5</v>
          </cell>
          <cell r="C801">
            <v>1</v>
          </cell>
          <cell r="D801">
            <v>120</v>
          </cell>
          <cell r="E801">
            <v>2</v>
          </cell>
          <cell r="F801" t="str">
            <v>TJS</v>
          </cell>
          <cell r="G801">
            <v>24</v>
          </cell>
          <cell r="H801">
            <v>2373</v>
          </cell>
          <cell r="I801">
            <v>1</v>
          </cell>
          <cell r="J801" t="str">
            <v>АОЗТ "Олимп"</v>
          </cell>
          <cell r="K801">
            <v>56952</v>
          </cell>
          <cell r="L801">
            <v>2373</v>
          </cell>
          <cell r="M801">
            <v>1</v>
          </cell>
          <cell r="N801">
            <v>56952</v>
          </cell>
        </row>
        <row r="802">
          <cell r="A802">
            <v>2003</v>
          </cell>
          <cell r="B802">
            <v>5</v>
          </cell>
          <cell r="C802">
            <v>1</v>
          </cell>
          <cell r="D802">
            <v>90</v>
          </cell>
          <cell r="E802">
            <v>2</v>
          </cell>
          <cell r="F802" t="str">
            <v>USD</v>
          </cell>
          <cell r="G802">
            <v>36</v>
          </cell>
          <cell r="H802">
            <v>3090</v>
          </cell>
          <cell r="I802">
            <v>1</v>
          </cell>
          <cell r="J802" t="str">
            <v>АОЗТ "Олимп"</v>
          </cell>
          <cell r="K802">
            <v>111240</v>
          </cell>
          <cell r="L802">
            <v>3140.8223684210525</v>
          </cell>
          <cell r="M802">
            <v>1.0164473684210527</v>
          </cell>
          <cell r="N802">
            <v>113069.6052631579</v>
          </cell>
        </row>
        <row r="803">
          <cell r="A803">
            <v>2003</v>
          </cell>
          <cell r="B803">
            <v>5</v>
          </cell>
          <cell r="C803">
            <v>1</v>
          </cell>
          <cell r="D803">
            <v>90</v>
          </cell>
          <cell r="E803">
            <v>2</v>
          </cell>
          <cell r="F803" t="str">
            <v>USD</v>
          </cell>
          <cell r="G803">
            <v>30</v>
          </cell>
          <cell r="H803">
            <v>15450</v>
          </cell>
          <cell r="I803">
            <v>1</v>
          </cell>
          <cell r="J803" t="str">
            <v>АОЗТ "Олимп"</v>
          </cell>
          <cell r="K803">
            <v>463500</v>
          </cell>
          <cell r="L803">
            <v>15704.111842105263</v>
          </cell>
          <cell r="M803">
            <v>1.0164473684210527</v>
          </cell>
          <cell r="N803">
            <v>471123.3552631579</v>
          </cell>
        </row>
        <row r="804">
          <cell r="A804">
            <v>2003</v>
          </cell>
          <cell r="B804">
            <v>5</v>
          </cell>
          <cell r="C804">
            <v>1</v>
          </cell>
          <cell r="D804">
            <v>90</v>
          </cell>
          <cell r="E804">
            <v>2</v>
          </cell>
          <cell r="F804" t="str">
            <v>USD</v>
          </cell>
          <cell r="G804">
            <v>36</v>
          </cell>
          <cell r="H804">
            <v>1236</v>
          </cell>
          <cell r="I804">
            <v>1</v>
          </cell>
          <cell r="J804" t="str">
            <v>АОЗТ "Олимп"</v>
          </cell>
          <cell r="K804">
            <v>44496</v>
          </cell>
          <cell r="L804">
            <v>1256.328947368421</v>
          </cell>
          <cell r="M804">
            <v>1.0164473684210527</v>
          </cell>
          <cell r="N804">
            <v>45227.84210526316</v>
          </cell>
        </row>
        <row r="805">
          <cell r="A805">
            <v>2003</v>
          </cell>
          <cell r="B805">
            <v>5</v>
          </cell>
          <cell r="C805">
            <v>1</v>
          </cell>
          <cell r="D805">
            <v>30</v>
          </cell>
          <cell r="E805">
            <v>1</v>
          </cell>
          <cell r="F805" t="str">
            <v>TJS</v>
          </cell>
          <cell r="G805">
            <v>30</v>
          </cell>
          <cell r="H805">
            <v>24000</v>
          </cell>
          <cell r="I805">
            <v>1</v>
          </cell>
          <cell r="J805" t="str">
            <v>ГАКБ "Точиксодиротбонк"</v>
          </cell>
          <cell r="K805">
            <v>720000</v>
          </cell>
          <cell r="L805">
            <v>24000</v>
          </cell>
          <cell r="M805">
            <v>1</v>
          </cell>
          <cell r="N805">
            <v>720000</v>
          </cell>
        </row>
        <row r="806">
          <cell r="A806">
            <v>2003</v>
          </cell>
          <cell r="B806">
            <v>5</v>
          </cell>
          <cell r="C806">
            <v>1</v>
          </cell>
          <cell r="D806">
            <v>180</v>
          </cell>
          <cell r="E806">
            <v>1</v>
          </cell>
          <cell r="F806" t="str">
            <v>TJS</v>
          </cell>
          <cell r="G806">
            <v>25</v>
          </cell>
          <cell r="H806">
            <v>45623</v>
          </cell>
          <cell r="I806">
            <v>1</v>
          </cell>
          <cell r="J806" t="str">
            <v>ГАКБ "Точиксодиротбонк"</v>
          </cell>
          <cell r="K806">
            <v>1140575</v>
          </cell>
          <cell r="L806">
            <v>45623</v>
          </cell>
          <cell r="M806">
            <v>1</v>
          </cell>
          <cell r="N806">
            <v>1140575</v>
          </cell>
        </row>
        <row r="807">
          <cell r="A807">
            <v>2003</v>
          </cell>
          <cell r="B807">
            <v>5</v>
          </cell>
          <cell r="C807">
            <v>2</v>
          </cell>
          <cell r="D807">
            <v>360</v>
          </cell>
          <cell r="E807">
            <v>1</v>
          </cell>
          <cell r="F807" t="str">
            <v>TJS</v>
          </cell>
          <cell r="G807">
            <v>18</v>
          </cell>
          <cell r="H807">
            <v>931030</v>
          </cell>
          <cell r="I807">
            <v>8</v>
          </cell>
          <cell r="J807" t="str">
            <v>ГАКБ "Точиксодиротбонк"</v>
          </cell>
          <cell r="K807">
            <v>16758540</v>
          </cell>
          <cell r="L807">
            <v>931030</v>
          </cell>
          <cell r="M807">
            <v>1</v>
          </cell>
          <cell r="N807">
            <v>16758540</v>
          </cell>
        </row>
        <row r="808">
          <cell r="A808">
            <v>2003</v>
          </cell>
          <cell r="B808">
            <v>5</v>
          </cell>
          <cell r="C808">
            <v>2</v>
          </cell>
          <cell r="D808">
            <v>1080</v>
          </cell>
          <cell r="E808">
            <v>1</v>
          </cell>
          <cell r="F808" t="str">
            <v>TJS</v>
          </cell>
          <cell r="G808">
            <v>18</v>
          </cell>
          <cell r="H808">
            <v>658905</v>
          </cell>
          <cell r="I808">
            <v>1</v>
          </cell>
          <cell r="J808" t="str">
            <v>ГАКБ "Точиксодиротбонк"</v>
          </cell>
          <cell r="K808">
            <v>11860290</v>
          </cell>
          <cell r="L808">
            <v>658905</v>
          </cell>
          <cell r="M808">
            <v>1</v>
          </cell>
          <cell r="N808">
            <v>11860290</v>
          </cell>
        </row>
        <row r="809">
          <cell r="A809">
            <v>2003</v>
          </cell>
          <cell r="B809">
            <v>5</v>
          </cell>
          <cell r="C809">
            <v>1</v>
          </cell>
          <cell r="D809">
            <v>360</v>
          </cell>
          <cell r="E809">
            <v>0</v>
          </cell>
          <cell r="F809" t="str">
            <v>USD</v>
          </cell>
          <cell r="G809">
            <v>25</v>
          </cell>
          <cell r="H809">
            <v>618000</v>
          </cell>
          <cell r="I809">
            <v>1</v>
          </cell>
          <cell r="J809" t="str">
            <v>ГАКБ "Точиксодиротбонк"</v>
          </cell>
          <cell r="K809">
            <v>15450000</v>
          </cell>
          <cell r="L809">
            <v>628164.4736842106</v>
          </cell>
          <cell r="M809">
            <v>1.0164473684210527</v>
          </cell>
          <cell r="N809">
            <v>15704111.842105264</v>
          </cell>
        </row>
        <row r="810">
          <cell r="A810">
            <v>2003</v>
          </cell>
          <cell r="B810">
            <v>5</v>
          </cell>
          <cell r="C810">
            <v>3</v>
          </cell>
          <cell r="D810">
            <v>360</v>
          </cell>
          <cell r="E810">
            <v>1</v>
          </cell>
          <cell r="F810" t="str">
            <v>USD</v>
          </cell>
          <cell r="G810">
            <v>25</v>
          </cell>
          <cell r="H810">
            <v>188449</v>
          </cell>
          <cell r="I810">
            <v>2</v>
          </cell>
          <cell r="J810" t="str">
            <v>ГАКБ "Точиксодиротбонк"</v>
          </cell>
          <cell r="K810">
            <v>4711225</v>
          </cell>
          <cell r="L810">
            <v>191548.49013157896</v>
          </cell>
          <cell r="M810">
            <v>1.0164473684210527</v>
          </cell>
          <cell r="N810">
            <v>4788712.253289474</v>
          </cell>
        </row>
        <row r="811">
          <cell r="A811">
            <v>2003</v>
          </cell>
          <cell r="B811">
            <v>5</v>
          </cell>
          <cell r="C811">
            <v>3</v>
          </cell>
          <cell r="D811">
            <v>540</v>
          </cell>
          <cell r="E811">
            <v>1</v>
          </cell>
          <cell r="F811" t="str">
            <v>USD</v>
          </cell>
          <cell r="G811">
            <v>22</v>
          </cell>
          <cell r="H811">
            <v>71490</v>
          </cell>
          <cell r="I811">
            <v>1</v>
          </cell>
          <cell r="J811" t="str">
            <v>ГАКБ "Точиксодиротбонк"</v>
          </cell>
          <cell r="K811">
            <v>1572780</v>
          </cell>
          <cell r="L811">
            <v>72665.82236842105</v>
          </cell>
          <cell r="M811">
            <v>1.0164473684210527</v>
          </cell>
          <cell r="N811">
            <v>1598648.0921052631</v>
          </cell>
        </row>
        <row r="812">
          <cell r="A812">
            <v>2003</v>
          </cell>
          <cell r="B812">
            <v>5</v>
          </cell>
          <cell r="C812">
            <v>3</v>
          </cell>
          <cell r="D812">
            <v>270</v>
          </cell>
          <cell r="E812">
            <v>1</v>
          </cell>
          <cell r="F812" t="str">
            <v>USD</v>
          </cell>
          <cell r="G812">
            <v>25</v>
          </cell>
          <cell r="H812">
            <v>76833</v>
          </cell>
          <cell r="I812">
            <v>1</v>
          </cell>
          <cell r="J812" t="str">
            <v>ГАКБ "Точиксодиротбонк"</v>
          </cell>
          <cell r="K812">
            <v>1920825</v>
          </cell>
          <cell r="L812">
            <v>78096.70065789473</v>
          </cell>
          <cell r="M812">
            <v>1.0164473684210527</v>
          </cell>
          <cell r="N812">
            <v>1952417.5164473685</v>
          </cell>
        </row>
        <row r="813">
          <cell r="A813">
            <v>2003</v>
          </cell>
          <cell r="B813">
            <v>5</v>
          </cell>
          <cell r="C813">
            <v>1</v>
          </cell>
          <cell r="D813">
            <v>180</v>
          </cell>
          <cell r="E813">
            <v>1</v>
          </cell>
          <cell r="F813" t="str">
            <v>USD</v>
          </cell>
          <cell r="G813">
            <v>25</v>
          </cell>
          <cell r="H813">
            <v>208621</v>
          </cell>
          <cell r="I813">
            <v>1</v>
          </cell>
          <cell r="J813" t="str">
            <v>ГАКБ "Точиксодиротбонк"</v>
          </cell>
          <cell r="K813">
            <v>5215525</v>
          </cell>
          <cell r="L813">
            <v>212052.26644736843</v>
          </cell>
          <cell r="M813">
            <v>1.0164473684210527</v>
          </cell>
          <cell r="N813">
            <v>5301306.66118421</v>
          </cell>
        </row>
        <row r="814">
          <cell r="A814">
            <v>2003</v>
          </cell>
          <cell r="B814">
            <v>5</v>
          </cell>
          <cell r="C814">
            <v>3</v>
          </cell>
          <cell r="D814">
            <v>270</v>
          </cell>
          <cell r="E814">
            <v>1</v>
          </cell>
          <cell r="F814" t="str">
            <v>USD</v>
          </cell>
          <cell r="G814">
            <v>25</v>
          </cell>
          <cell r="H814">
            <v>83039</v>
          </cell>
          <cell r="I814">
            <v>1</v>
          </cell>
          <cell r="J814" t="str">
            <v>ГАКБ "Точиксодиротбонк"</v>
          </cell>
          <cell r="K814">
            <v>2075975</v>
          </cell>
          <cell r="L814">
            <v>84404.77302631579</v>
          </cell>
          <cell r="M814">
            <v>1.0164473684210527</v>
          </cell>
          <cell r="N814">
            <v>2110119.325657895</v>
          </cell>
        </row>
        <row r="815">
          <cell r="A815">
            <v>2003</v>
          </cell>
          <cell r="B815">
            <v>5</v>
          </cell>
          <cell r="C815">
            <v>3</v>
          </cell>
          <cell r="D815">
            <v>300</v>
          </cell>
          <cell r="E815">
            <v>1</v>
          </cell>
          <cell r="F815" t="str">
            <v>USD</v>
          </cell>
          <cell r="G815">
            <v>25</v>
          </cell>
          <cell r="H815">
            <v>239475</v>
          </cell>
          <cell r="I815">
            <v>1</v>
          </cell>
          <cell r="J815" t="str">
            <v>ГАКБ "Точиксодиротбонк"</v>
          </cell>
          <cell r="K815">
            <v>5986875</v>
          </cell>
          <cell r="L815">
            <v>243413.73355263157</v>
          </cell>
          <cell r="M815">
            <v>1.0164473684210527</v>
          </cell>
          <cell r="N815">
            <v>6085343.33881579</v>
          </cell>
        </row>
        <row r="816">
          <cell r="A816">
            <v>2003</v>
          </cell>
          <cell r="B816">
            <v>5</v>
          </cell>
          <cell r="C816">
            <v>3</v>
          </cell>
          <cell r="D816">
            <v>330</v>
          </cell>
          <cell r="E816">
            <v>1</v>
          </cell>
          <cell r="F816" t="str">
            <v>USD</v>
          </cell>
          <cell r="G816">
            <v>25</v>
          </cell>
          <cell r="H816">
            <v>587100</v>
          </cell>
          <cell r="I816">
            <v>1</v>
          </cell>
          <cell r="J816" t="str">
            <v>ГАКБ "Точиксодиротбонк"</v>
          </cell>
          <cell r="K816">
            <v>14677500</v>
          </cell>
          <cell r="L816">
            <v>596756.25</v>
          </cell>
          <cell r="M816">
            <v>1.0164473684210527</v>
          </cell>
          <cell r="N816">
            <v>14918906.25</v>
          </cell>
        </row>
        <row r="817">
          <cell r="A817">
            <v>2003</v>
          </cell>
          <cell r="B817">
            <v>5</v>
          </cell>
          <cell r="C817">
            <v>2</v>
          </cell>
          <cell r="D817">
            <v>30</v>
          </cell>
          <cell r="E817">
            <v>1</v>
          </cell>
          <cell r="F817" t="str">
            <v>USD</v>
          </cell>
          <cell r="G817">
            <v>25</v>
          </cell>
          <cell r="H817">
            <v>400000</v>
          </cell>
          <cell r="I817">
            <v>1</v>
          </cell>
          <cell r="J817" t="str">
            <v>ГАКБ "Точиксодиротбонк"</v>
          </cell>
          <cell r="K817">
            <v>10000000</v>
          </cell>
          <cell r="L817">
            <v>406578.94736842107</v>
          </cell>
          <cell r="M817">
            <v>1.0164473684210527</v>
          </cell>
          <cell r="N817">
            <v>10164473.684210526</v>
          </cell>
        </row>
        <row r="818">
          <cell r="A818">
            <v>2003</v>
          </cell>
          <cell r="B818">
            <v>5</v>
          </cell>
          <cell r="C818">
            <v>2</v>
          </cell>
          <cell r="D818">
            <v>330</v>
          </cell>
          <cell r="E818">
            <v>1</v>
          </cell>
          <cell r="F818" t="str">
            <v>USD</v>
          </cell>
          <cell r="G818">
            <v>23</v>
          </cell>
          <cell r="H818">
            <v>216300</v>
          </cell>
          <cell r="I818">
            <v>1</v>
          </cell>
          <cell r="J818" t="str">
            <v>ГАКБ "Точиксодиротбонк"</v>
          </cell>
          <cell r="K818">
            <v>4974900</v>
          </cell>
          <cell r="L818">
            <v>219857.56578947368</v>
          </cell>
          <cell r="M818">
            <v>1.0164473684210527</v>
          </cell>
          <cell r="N818">
            <v>5056724.013157895</v>
          </cell>
        </row>
        <row r="819">
          <cell r="A819">
            <v>2003</v>
          </cell>
          <cell r="B819">
            <v>5</v>
          </cell>
          <cell r="C819">
            <v>2</v>
          </cell>
          <cell r="D819">
            <v>300</v>
          </cell>
          <cell r="E819">
            <v>1</v>
          </cell>
          <cell r="F819" t="str">
            <v>USD</v>
          </cell>
          <cell r="G819">
            <v>25</v>
          </cell>
          <cell r="H819">
            <v>108150</v>
          </cell>
          <cell r="I819">
            <v>1</v>
          </cell>
          <cell r="J819" t="str">
            <v>ГАКБ "Точиксодиротбонк"</v>
          </cell>
          <cell r="K819">
            <v>2703750</v>
          </cell>
          <cell r="L819">
            <v>109928.78289473684</v>
          </cell>
          <cell r="M819">
            <v>1.0164473684210527</v>
          </cell>
          <cell r="N819">
            <v>2748219.572368421</v>
          </cell>
        </row>
        <row r="820">
          <cell r="A820">
            <v>2003</v>
          </cell>
          <cell r="B820">
            <v>5</v>
          </cell>
          <cell r="C820">
            <v>2</v>
          </cell>
          <cell r="D820">
            <v>240</v>
          </cell>
          <cell r="E820">
            <v>1</v>
          </cell>
          <cell r="F820" t="str">
            <v>USD</v>
          </cell>
          <cell r="G820">
            <v>25</v>
          </cell>
          <cell r="H820">
            <v>108150</v>
          </cell>
          <cell r="I820">
            <v>1</v>
          </cell>
          <cell r="J820" t="str">
            <v>ГАКБ "Точиксодиротбонк"</v>
          </cell>
          <cell r="K820">
            <v>2703750</v>
          </cell>
          <cell r="L820">
            <v>109928.78289473684</v>
          </cell>
          <cell r="M820">
            <v>1.0164473684210527</v>
          </cell>
          <cell r="N820">
            <v>2748219.572368421</v>
          </cell>
        </row>
        <row r="821">
          <cell r="A821">
            <v>2003</v>
          </cell>
          <cell r="B821">
            <v>5</v>
          </cell>
          <cell r="C821">
            <v>2</v>
          </cell>
          <cell r="D821">
            <v>120</v>
          </cell>
          <cell r="E821">
            <v>1</v>
          </cell>
          <cell r="F821" t="str">
            <v>USD</v>
          </cell>
          <cell r="G821">
            <v>25</v>
          </cell>
          <cell r="H821">
            <v>30900</v>
          </cell>
          <cell r="I821">
            <v>1</v>
          </cell>
          <cell r="J821" t="str">
            <v>ГАКБ "Точиксодиротбонк"</v>
          </cell>
          <cell r="K821">
            <v>772500</v>
          </cell>
          <cell r="L821">
            <v>31408.223684210527</v>
          </cell>
          <cell r="M821">
            <v>1.0164473684210527</v>
          </cell>
          <cell r="N821">
            <v>785205.5921052631</v>
          </cell>
        </row>
        <row r="822">
          <cell r="A822">
            <v>2003</v>
          </cell>
          <cell r="B822">
            <v>5</v>
          </cell>
          <cell r="C822">
            <v>2</v>
          </cell>
          <cell r="D822">
            <v>210</v>
          </cell>
          <cell r="E822">
            <v>1</v>
          </cell>
          <cell r="F822" t="str">
            <v>USD</v>
          </cell>
          <cell r="G822">
            <v>25</v>
          </cell>
          <cell r="H822">
            <v>108150</v>
          </cell>
          <cell r="I822">
            <v>1</v>
          </cell>
          <cell r="J822" t="str">
            <v>ГАКБ "Точиксодиротбонк"</v>
          </cell>
          <cell r="K822">
            <v>2703750</v>
          </cell>
          <cell r="L822">
            <v>109928.78289473684</v>
          </cell>
          <cell r="M822">
            <v>1.0164473684210527</v>
          </cell>
          <cell r="N822">
            <v>2748219.572368421</v>
          </cell>
        </row>
        <row r="823">
          <cell r="A823">
            <v>2003</v>
          </cell>
          <cell r="B823">
            <v>5</v>
          </cell>
          <cell r="C823">
            <v>4</v>
          </cell>
          <cell r="D823">
            <v>120</v>
          </cell>
          <cell r="E823">
            <v>1</v>
          </cell>
          <cell r="F823" t="str">
            <v>TJS</v>
          </cell>
          <cell r="G823">
            <v>26</v>
          </cell>
          <cell r="H823">
            <v>19221</v>
          </cell>
          <cell r="I823">
            <v>1</v>
          </cell>
          <cell r="J823" t="str">
            <v>ГАКБ "Точиксодиротбонк"</v>
          </cell>
          <cell r="K823">
            <v>499746</v>
          </cell>
          <cell r="L823">
            <v>19221</v>
          </cell>
          <cell r="M823">
            <v>1</v>
          </cell>
          <cell r="N823">
            <v>499746</v>
          </cell>
        </row>
        <row r="824">
          <cell r="A824">
            <v>2003</v>
          </cell>
          <cell r="B824">
            <v>5</v>
          </cell>
          <cell r="C824">
            <v>1</v>
          </cell>
          <cell r="D824">
            <v>240</v>
          </cell>
          <cell r="E824">
            <v>1</v>
          </cell>
          <cell r="F824" t="str">
            <v>TJS</v>
          </cell>
          <cell r="G824">
            <v>30</v>
          </cell>
          <cell r="H824">
            <v>30000</v>
          </cell>
          <cell r="I824">
            <v>1</v>
          </cell>
          <cell r="J824" t="str">
            <v>ГАКБ "Точиксодиротбонк"</v>
          </cell>
          <cell r="K824">
            <v>900000</v>
          </cell>
          <cell r="L824">
            <v>30000</v>
          </cell>
          <cell r="M824">
            <v>1</v>
          </cell>
          <cell r="N824">
            <v>900000</v>
          </cell>
        </row>
        <row r="825">
          <cell r="A825">
            <v>2003</v>
          </cell>
          <cell r="B825">
            <v>5</v>
          </cell>
          <cell r="C825">
            <v>1</v>
          </cell>
          <cell r="D825">
            <v>150</v>
          </cell>
          <cell r="E825">
            <v>2</v>
          </cell>
          <cell r="F825" t="str">
            <v>TJS</v>
          </cell>
          <cell r="G825">
            <v>42</v>
          </cell>
          <cell r="H825">
            <v>1200</v>
          </cell>
          <cell r="I825">
            <v>1</v>
          </cell>
          <cell r="J825" t="str">
            <v>ГАКБ "Точиксодиротбонк"</v>
          </cell>
          <cell r="K825">
            <v>50400</v>
          </cell>
          <cell r="L825">
            <v>1200</v>
          </cell>
          <cell r="M825">
            <v>1</v>
          </cell>
          <cell r="N825">
            <v>50400</v>
          </cell>
        </row>
        <row r="826">
          <cell r="A826">
            <v>2003</v>
          </cell>
          <cell r="B826">
            <v>5</v>
          </cell>
          <cell r="C826">
            <v>1</v>
          </cell>
          <cell r="D826">
            <v>150</v>
          </cell>
          <cell r="E826">
            <v>2</v>
          </cell>
          <cell r="F826" t="str">
            <v>TJS</v>
          </cell>
          <cell r="G826">
            <v>42</v>
          </cell>
          <cell r="H826">
            <v>1400</v>
          </cell>
          <cell r="I826">
            <v>1</v>
          </cell>
          <cell r="J826" t="str">
            <v>ГАКБ "Точиксодиротбонк"</v>
          </cell>
          <cell r="K826">
            <v>58800</v>
          </cell>
          <cell r="L826">
            <v>1400</v>
          </cell>
          <cell r="M826">
            <v>1</v>
          </cell>
          <cell r="N826">
            <v>58800</v>
          </cell>
        </row>
        <row r="827">
          <cell r="A827">
            <v>2003</v>
          </cell>
          <cell r="B827">
            <v>5</v>
          </cell>
          <cell r="C827">
            <v>1</v>
          </cell>
          <cell r="D827">
            <v>180</v>
          </cell>
          <cell r="E827">
            <v>2</v>
          </cell>
          <cell r="F827" t="str">
            <v>TJS</v>
          </cell>
          <cell r="G827">
            <v>36</v>
          </cell>
          <cell r="H827">
            <v>4000</v>
          </cell>
          <cell r="I827">
            <v>1</v>
          </cell>
          <cell r="J827" t="str">
            <v>ГАКБ "Точиксодиротбонк"</v>
          </cell>
          <cell r="K827">
            <v>144000</v>
          </cell>
          <cell r="L827">
            <v>4000</v>
          </cell>
          <cell r="M827">
            <v>1</v>
          </cell>
          <cell r="N827">
            <v>144000</v>
          </cell>
        </row>
        <row r="828">
          <cell r="A828">
            <v>2003</v>
          </cell>
          <cell r="B828">
            <v>5</v>
          </cell>
          <cell r="C828">
            <v>1</v>
          </cell>
          <cell r="D828">
            <v>180</v>
          </cell>
          <cell r="E828">
            <v>2</v>
          </cell>
          <cell r="F828" t="str">
            <v>TJS</v>
          </cell>
          <cell r="G828">
            <v>48</v>
          </cell>
          <cell r="H828">
            <v>3000</v>
          </cell>
          <cell r="I828">
            <v>1</v>
          </cell>
          <cell r="J828" t="str">
            <v>ГАКБ "Точиксодиротбонк"</v>
          </cell>
          <cell r="K828">
            <v>144000</v>
          </cell>
          <cell r="L828">
            <v>3000</v>
          </cell>
          <cell r="M828">
            <v>1</v>
          </cell>
          <cell r="N828">
            <v>144000</v>
          </cell>
        </row>
        <row r="829">
          <cell r="A829">
            <v>2003</v>
          </cell>
          <cell r="B829">
            <v>5</v>
          </cell>
          <cell r="C829">
            <v>1</v>
          </cell>
          <cell r="D829">
            <v>360</v>
          </cell>
          <cell r="E829">
            <v>1</v>
          </cell>
          <cell r="F829" t="str">
            <v>TJS</v>
          </cell>
          <cell r="G829">
            <v>36</v>
          </cell>
          <cell r="H829">
            <v>15000</v>
          </cell>
          <cell r="I829">
            <v>1</v>
          </cell>
          <cell r="J829" t="str">
            <v>ГАКБ "Точиксодиротбонк"</v>
          </cell>
          <cell r="K829">
            <v>540000</v>
          </cell>
          <cell r="L829">
            <v>15000</v>
          </cell>
          <cell r="M829">
            <v>1</v>
          </cell>
          <cell r="N829">
            <v>540000</v>
          </cell>
        </row>
        <row r="830">
          <cell r="A830">
            <v>2003</v>
          </cell>
          <cell r="B830">
            <v>5</v>
          </cell>
          <cell r="C830">
            <v>2</v>
          </cell>
          <cell r="D830">
            <v>210</v>
          </cell>
          <cell r="E830">
            <v>1</v>
          </cell>
          <cell r="F830" t="str">
            <v>TJS</v>
          </cell>
          <cell r="G830">
            <v>36</v>
          </cell>
          <cell r="H830">
            <v>5000</v>
          </cell>
          <cell r="I830">
            <v>1</v>
          </cell>
          <cell r="J830" t="str">
            <v>ГАКБ "Точиксодиротбонк"</v>
          </cell>
          <cell r="K830">
            <v>180000</v>
          </cell>
          <cell r="L830">
            <v>5000</v>
          </cell>
          <cell r="M830">
            <v>1</v>
          </cell>
          <cell r="N830">
            <v>180000</v>
          </cell>
        </row>
        <row r="831">
          <cell r="A831">
            <v>2003</v>
          </cell>
          <cell r="B831">
            <v>5</v>
          </cell>
          <cell r="C831">
            <v>1</v>
          </cell>
          <cell r="D831">
            <v>180</v>
          </cell>
          <cell r="E831">
            <v>1</v>
          </cell>
          <cell r="F831" t="str">
            <v>TJS</v>
          </cell>
          <cell r="G831">
            <v>36</v>
          </cell>
          <cell r="H831">
            <v>11000</v>
          </cell>
          <cell r="I831">
            <v>1</v>
          </cell>
          <cell r="J831" t="str">
            <v>ГАКБ "Точиксодиротбонк"</v>
          </cell>
          <cell r="K831">
            <v>396000</v>
          </cell>
          <cell r="L831">
            <v>11000</v>
          </cell>
          <cell r="M831">
            <v>1</v>
          </cell>
          <cell r="N831">
            <v>396000</v>
          </cell>
        </row>
        <row r="832">
          <cell r="A832">
            <v>2003</v>
          </cell>
          <cell r="B832">
            <v>5</v>
          </cell>
          <cell r="C832">
            <v>3</v>
          </cell>
          <cell r="D832">
            <v>180</v>
          </cell>
          <cell r="E832">
            <v>1</v>
          </cell>
          <cell r="F832" t="str">
            <v>TJS</v>
          </cell>
          <cell r="G832">
            <v>30</v>
          </cell>
          <cell r="H832">
            <v>12000</v>
          </cell>
          <cell r="I832">
            <v>1</v>
          </cell>
          <cell r="J832" t="str">
            <v>ГАКБ "Точиксодиротбонк"</v>
          </cell>
          <cell r="K832">
            <v>360000</v>
          </cell>
          <cell r="L832">
            <v>12000</v>
          </cell>
          <cell r="M832">
            <v>1</v>
          </cell>
          <cell r="N832">
            <v>360000</v>
          </cell>
        </row>
        <row r="833">
          <cell r="A833">
            <v>2003</v>
          </cell>
          <cell r="B833">
            <v>5</v>
          </cell>
          <cell r="C833">
            <v>1</v>
          </cell>
          <cell r="D833">
            <v>180</v>
          </cell>
          <cell r="E833">
            <v>2</v>
          </cell>
          <cell r="F833" t="str">
            <v>TJS</v>
          </cell>
          <cell r="G833">
            <v>36</v>
          </cell>
          <cell r="H833">
            <v>17300</v>
          </cell>
          <cell r="I833">
            <v>7</v>
          </cell>
          <cell r="J833" t="str">
            <v>ГАКБ "Точиксодиротбонк"</v>
          </cell>
          <cell r="K833">
            <v>622800</v>
          </cell>
          <cell r="L833">
            <v>17300</v>
          </cell>
          <cell r="M833">
            <v>1</v>
          </cell>
          <cell r="N833">
            <v>622800</v>
          </cell>
        </row>
        <row r="834">
          <cell r="A834">
            <v>2003</v>
          </cell>
          <cell r="B834">
            <v>5</v>
          </cell>
          <cell r="C834">
            <v>1</v>
          </cell>
          <cell r="D834">
            <v>180</v>
          </cell>
          <cell r="E834">
            <v>1</v>
          </cell>
          <cell r="F834" t="str">
            <v>TJS</v>
          </cell>
          <cell r="G834">
            <v>36</v>
          </cell>
          <cell r="H834">
            <v>4500</v>
          </cell>
          <cell r="I834">
            <v>1</v>
          </cell>
          <cell r="J834" t="str">
            <v>ГАКБ "Точиксодиротбонк"</v>
          </cell>
          <cell r="K834">
            <v>162000</v>
          </cell>
          <cell r="L834">
            <v>4500</v>
          </cell>
          <cell r="M834">
            <v>1</v>
          </cell>
          <cell r="N834">
            <v>162000</v>
          </cell>
        </row>
        <row r="835">
          <cell r="A835">
            <v>2003</v>
          </cell>
          <cell r="B835">
            <v>5</v>
          </cell>
          <cell r="C835">
            <v>1</v>
          </cell>
          <cell r="D835">
            <v>180</v>
          </cell>
          <cell r="E835">
            <v>2</v>
          </cell>
          <cell r="F835" t="str">
            <v>TJS</v>
          </cell>
          <cell r="G835">
            <v>60</v>
          </cell>
          <cell r="H835">
            <v>7600</v>
          </cell>
          <cell r="I835">
            <v>5</v>
          </cell>
          <cell r="J835" t="str">
            <v>ГАКБ "Точиксодиротбонк"</v>
          </cell>
          <cell r="K835">
            <v>456000</v>
          </cell>
          <cell r="L835">
            <v>7600</v>
          </cell>
          <cell r="M835">
            <v>1</v>
          </cell>
          <cell r="N835">
            <v>456000</v>
          </cell>
        </row>
        <row r="836">
          <cell r="A836">
            <v>2003</v>
          </cell>
          <cell r="B836">
            <v>5</v>
          </cell>
          <cell r="C836">
            <v>1</v>
          </cell>
          <cell r="D836">
            <v>180</v>
          </cell>
          <cell r="E836">
            <v>2</v>
          </cell>
          <cell r="F836" t="str">
            <v>TJS</v>
          </cell>
          <cell r="G836">
            <v>48</v>
          </cell>
          <cell r="H836">
            <v>29500</v>
          </cell>
          <cell r="I836">
            <v>4</v>
          </cell>
          <cell r="J836" t="str">
            <v>ГАКБ "Точиксодиротбонк"</v>
          </cell>
          <cell r="K836">
            <v>1416000</v>
          </cell>
          <cell r="L836">
            <v>29500</v>
          </cell>
          <cell r="M836">
            <v>1</v>
          </cell>
          <cell r="N836">
            <v>1416000</v>
          </cell>
        </row>
        <row r="837">
          <cell r="A837">
            <v>2003</v>
          </cell>
          <cell r="B837">
            <v>5</v>
          </cell>
          <cell r="C837">
            <v>1</v>
          </cell>
          <cell r="D837">
            <v>240</v>
          </cell>
          <cell r="E837">
            <v>1</v>
          </cell>
          <cell r="F837" t="str">
            <v>TJS</v>
          </cell>
          <cell r="G837">
            <v>24</v>
          </cell>
          <cell r="H837">
            <v>12500</v>
          </cell>
          <cell r="I837">
            <v>1</v>
          </cell>
          <cell r="J837" t="str">
            <v>ГАКБ "Точиксодиротбонк"</v>
          </cell>
          <cell r="K837">
            <v>300000</v>
          </cell>
          <cell r="L837">
            <v>12500</v>
          </cell>
          <cell r="M837">
            <v>1</v>
          </cell>
          <cell r="N837">
            <v>300000</v>
          </cell>
        </row>
        <row r="838">
          <cell r="A838">
            <v>2003</v>
          </cell>
          <cell r="B838">
            <v>5</v>
          </cell>
          <cell r="C838">
            <v>1</v>
          </cell>
          <cell r="D838">
            <v>180</v>
          </cell>
          <cell r="E838">
            <v>1</v>
          </cell>
          <cell r="F838" t="str">
            <v>TJS</v>
          </cell>
          <cell r="G838">
            <v>60</v>
          </cell>
          <cell r="H838">
            <v>600</v>
          </cell>
          <cell r="I838">
            <v>1</v>
          </cell>
          <cell r="J838" t="str">
            <v>КТОО "Фонон"</v>
          </cell>
          <cell r="K838">
            <v>36000</v>
          </cell>
          <cell r="L838">
            <v>600</v>
          </cell>
          <cell r="M838">
            <v>1</v>
          </cell>
          <cell r="N838">
            <v>36000</v>
          </cell>
        </row>
        <row r="839">
          <cell r="A839">
            <v>2003</v>
          </cell>
          <cell r="B839">
            <v>5</v>
          </cell>
          <cell r="C839">
            <v>1</v>
          </cell>
          <cell r="D839">
            <v>15</v>
          </cell>
          <cell r="E839">
            <v>1</v>
          </cell>
          <cell r="F839" t="str">
            <v>TJS</v>
          </cell>
          <cell r="G839">
            <v>36</v>
          </cell>
          <cell r="H839">
            <v>2000</v>
          </cell>
          <cell r="I839">
            <v>1</v>
          </cell>
          <cell r="J839" t="str">
            <v>СТК "Центрально-Азиатский банк"</v>
          </cell>
          <cell r="K839">
            <v>72000</v>
          </cell>
          <cell r="L839">
            <v>2000</v>
          </cell>
          <cell r="M839">
            <v>1</v>
          </cell>
          <cell r="N839">
            <v>72000</v>
          </cell>
        </row>
        <row r="840">
          <cell r="A840">
            <v>2003</v>
          </cell>
          <cell r="B840">
            <v>5</v>
          </cell>
          <cell r="C840">
            <v>1</v>
          </cell>
          <cell r="D840">
            <v>180</v>
          </cell>
          <cell r="E840">
            <v>2</v>
          </cell>
          <cell r="F840" t="str">
            <v>TJS</v>
          </cell>
          <cell r="G840">
            <v>0</v>
          </cell>
          <cell r="H840">
            <v>3000</v>
          </cell>
          <cell r="I840">
            <v>1</v>
          </cell>
          <cell r="J840" t="str">
            <v>СТК "Центрально-Азиатский банк"</v>
          </cell>
          <cell r="K840">
            <v>0</v>
          </cell>
          <cell r="L840">
            <v>3000</v>
          </cell>
          <cell r="M840">
            <v>1</v>
          </cell>
          <cell r="N840">
            <v>0</v>
          </cell>
        </row>
        <row r="841">
          <cell r="A841">
            <v>2003</v>
          </cell>
          <cell r="B841">
            <v>5</v>
          </cell>
          <cell r="C841">
            <v>1</v>
          </cell>
          <cell r="D841">
            <v>115</v>
          </cell>
          <cell r="E841">
            <v>1</v>
          </cell>
          <cell r="F841" t="str">
            <v>USD</v>
          </cell>
          <cell r="G841">
            <v>40</v>
          </cell>
          <cell r="H841">
            <v>42803</v>
          </cell>
          <cell r="I841">
            <v>1</v>
          </cell>
          <cell r="J841" t="str">
            <v>СТК "Центрально-Азиатский банк"</v>
          </cell>
          <cell r="K841">
            <v>1712120</v>
          </cell>
          <cell r="L841">
            <v>43506.99671052632</v>
          </cell>
          <cell r="M841">
            <v>1.0164473684210527</v>
          </cell>
          <cell r="N841">
            <v>1740279.8684210526</v>
          </cell>
        </row>
        <row r="842">
          <cell r="A842">
            <v>2003</v>
          </cell>
          <cell r="B842">
            <v>5</v>
          </cell>
          <cell r="C842">
            <v>1</v>
          </cell>
          <cell r="D842">
            <v>120</v>
          </cell>
          <cell r="E842">
            <v>1</v>
          </cell>
          <cell r="F842" t="str">
            <v>USD</v>
          </cell>
          <cell r="G842">
            <v>40</v>
          </cell>
          <cell r="H842">
            <v>61800</v>
          </cell>
          <cell r="I842">
            <v>1</v>
          </cell>
          <cell r="J842" t="str">
            <v>СТК "Центрально-Азиатский банк"</v>
          </cell>
          <cell r="K842">
            <v>2472000</v>
          </cell>
          <cell r="L842">
            <v>62816.44736842105</v>
          </cell>
          <cell r="M842">
            <v>1.0164473684210527</v>
          </cell>
          <cell r="N842">
            <v>2512657.8947368423</v>
          </cell>
        </row>
        <row r="843">
          <cell r="A843">
            <v>2003</v>
          </cell>
          <cell r="B843">
            <v>5</v>
          </cell>
          <cell r="C843">
            <v>1</v>
          </cell>
          <cell r="D843">
            <v>60</v>
          </cell>
          <cell r="E843">
            <v>1</v>
          </cell>
          <cell r="F843" t="str">
            <v>TJS</v>
          </cell>
          <cell r="G843">
            <v>12</v>
          </cell>
          <cell r="H843">
            <v>1701920</v>
          </cell>
          <cell r="I843">
            <v>3</v>
          </cell>
          <cell r="J843" t="str">
            <v>ТАК ПБРР "Таджпромбанк"</v>
          </cell>
          <cell r="K843">
            <v>20423040</v>
          </cell>
          <cell r="L843">
            <v>1701920</v>
          </cell>
          <cell r="M843">
            <v>1</v>
          </cell>
          <cell r="N843">
            <v>20423040</v>
          </cell>
        </row>
        <row r="844">
          <cell r="A844">
            <v>2003</v>
          </cell>
          <cell r="B844">
            <v>5</v>
          </cell>
          <cell r="C844">
            <v>1</v>
          </cell>
          <cell r="D844">
            <v>90</v>
          </cell>
          <cell r="E844">
            <v>2</v>
          </cell>
          <cell r="F844" t="str">
            <v>TJS</v>
          </cell>
          <cell r="G844">
            <v>24</v>
          </cell>
          <cell r="H844">
            <v>125000</v>
          </cell>
          <cell r="I844">
            <v>2</v>
          </cell>
          <cell r="J844" t="str">
            <v>ТАК ПБРР "Таджпромбанк"</v>
          </cell>
          <cell r="K844">
            <v>3000000</v>
          </cell>
          <cell r="L844">
            <v>125000</v>
          </cell>
          <cell r="M844">
            <v>1</v>
          </cell>
          <cell r="N844">
            <v>3000000</v>
          </cell>
        </row>
        <row r="845">
          <cell r="A845">
            <v>2003</v>
          </cell>
          <cell r="B845">
            <v>5</v>
          </cell>
          <cell r="C845">
            <v>1</v>
          </cell>
          <cell r="D845">
            <v>180</v>
          </cell>
          <cell r="E845">
            <v>2</v>
          </cell>
          <cell r="F845" t="str">
            <v>TJS</v>
          </cell>
          <cell r="G845">
            <v>24</v>
          </cell>
          <cell r="H845">
            <v>9500</v>
          </cell>
          <cell r="I845">
            <v>3</v>
          </cell>
          <cell r="J845" t="str">
            <v>ТАК ПБРР "Таджпромбанк"</v>
          </cell>
          <cell r="K845">
            <v>228000</v>
          </cell>
          <cell r="L845">
            <v>9500</v>
          </cell>
          <cell r="M845">
            <v>1</v>
          </cell>
          <cell r="N845">
            <v>228000</v>
          </cell>
        </row>
        <row r="846">
          <cell r="A846">
            <v>2003</v>
          </cell>
          <cell r="B846">
            <v>5</v>
          </cell>
          <cell r="C846">
            <v>1</v>
          </cell>
          <cell r="D846">
            <v>90</v>
          </cell>
          <cell r="E846">
            <v>0</v>
          </cell>
          <cell r="F846" t="str">
            <v>TJS</v>
          </cell>
          <cell r="G846">
            <v>22</v>
          </cell>
          <cell r="H846">
            <v>466200</v>
          </cell>
          <cell r="I846">
            <v>1</v>
          </cell>
          <cell r="J846" t="str">
            <v>ТАК ПБРР "Таджпромбанк"</v>
          </cell>
          <cell r="K846">
            <v>10256400</v>
          </cell>
          <cell r="L846">
            <v>466200</v>
          </cell>
          <cell r="M846">
            <v>1</v>
          </cell>
          <cell r="N846">
            <v>10256400</v>
          </cell>
        </row>
        <row r="847">
          <cell r="A847">
            <v>2003</v>
          </cell>
          <cell r="B847">
            <v>5</v>
          </cell>
          <cell r="C847">
            <v>5</v>
          </cell>
          <cell r="D847">
            <v>90</v>
          </cell>
          <cell r="E847">
            <v>1</v>
          </cell>
          <cell r="F847" t="str">
            <v>TJS</v>
          </cell>
          <cell r="G847">
            <v>24</v>
          </cell>
          <cell r="H847">
            <v>70000</v>
          </cell>
          <cell r="I847">
            <v>2</v>
          </cell>
          <cell r="J847" t="str">
            <v>ТАК ПБРР "Таджпромбанк"</v>
          </cell>
          <cell r="K847">
            <v>1680000</v>
          </cell>
          <cell r="L847">
            <v>70000</v>
          </cell>
          <cell r="M847">
            <v>1</v>
          </cell>
          <cell r="N847">
            <v>1680000</v>
          </cell>
        </row>
        <row r="848">
          <cell r="A848">
            <v>2003</v>
          </cell>
          <cell r="B848">
            <v>5</v>
          </cell>
          <cell r="C848">
            <v>1</v>
          </cell>
          <cell r="D848">
            <v>90</v>
          </cell>
          <cell r="E848">
            <v>1</v>
          </cell>
          <cell r="F848" t="str">
            <v>TJS</v>
          </cell>
          <cell r="G848">
            <v>24</v>
          </cell>
          <cell r="H848">
            <v>270000</v>
          </cell>
          <cell r="I848">
            <v>1</v>
          </cell>
          <cell r="J848" t="str">
            <v>ТАК ПБРР "Таджпромбанк"</v>
          </cell>
          <cell r="K848">
            <v>6480000</v>
          </cell>
          <cell r="L848">
            <v>270000</v>
          </cell>
          <cell r="M848">
            <v>1</v>
          </cell>
          <cell r="N848">
            <v>6480000</v>
          </cell>
        </row>
        <row r="849">
          <cell r="A849">
            <v>2003</v>
          </cell>
          <cell r="B849">
            <v>5</v>
          </cell>
          <cell r="C849">
            <v>1</v>
          </cell>
          <cell r="D849">
            <v>180</v>
          </cell>
          <cell r="E849">
            <v>1</v>
          </cell>
          <cell r="F849" t="str">
            <v>TJS</v>
          </cell>
          <cell r="G849">
            <v>24</v>
          </cell>
          <cell r="H849">
            <v>5000</v>
          </cell>
          <cell r="I849">
            <v>1</v>
          </cell>
          <cell r="J849" t="str">
            <v>ТАК ПБРР "Таджпромбанк"</v>
          </cell>
          <cell r="K849">
            <v>120000</v>
          </cell>
          <cell r="L849">
            <v>5000</v>
          </cell>
          <cell r="M849">
            <v>1</v>
          </cell>
          <cell r="N849">
            <v>120000</v>
          </cell>
        </row>
        <row r="850">
          <cell r="A850">
            <v>2003</v>
          </cell>
          <cell r="B850">
            <v>5</v>
          </cell>
          <cell r="C850">
            <v>1</v>
          </cell>
          <cell r="D850">
            <v>60</v>
          </cell>
          <cell r="E850">
            <v>1</v>
          </cell>
          <cell r="F850" t="str">
            <v>USD</v>
          </cell>
          <cell r="G850">
            <v>12</v>
          </cell>
          <cell r="H850">
            <v>49481</v>
          </cell>
          <cell r="I850">
            <v>1</v>
          </cell>
          <cell r="J850" t="str">
            <v>ТАК ПБРР "Таджпромбанк"</v>
          </cell>
          <cell r="K850">
            <v>593772</v>
          </cell>
          <cell r="L850">
            <v>50294.83223684211</v>
          </cell>
          <cell r="M850">
            <v>1.0164473684210527</v>
          </cell>
          <cell r="N850">
            <v>603537.9868421053</v>
          </cell>
        </row>
        <row r="851">
          <cell r="A851">
            <v>2003</v>
          </cell>
          <cell r="B851">
            <v>5</v>
          </cell>
          <cell r="C851">
            <v>5</v>
          </cell>
          <cell r="D851">
            <v>90</v>
          </cell>
          <cell r="E851">
            <v>2</v>
          </cell>
          <cell r="F851" t="str">
            <v>TJS</v>
          </cell>
          <cell r="G851">
            <v>24</v>
          </cell>
          <cell r="H851">
            <v>25000</v>
          </cell>
          <cell r="I851">
            <v>1</v>
          </cell>
          <cell r="J851" t="str">
            <v>ТАК ПСБ "Ориёнбанк"</v>
          </cell>
          <cell r="K851">
            <v>600000</v>
          </cell>
          <cell r="L851">
            <v>25000</v>
          </cell>
          <cell r="M851">
            <v>1</v>
          </cell>
          <cell r="N851">
            <v>600000</v>
          </cell>
        </row>
        <row r="852">
          <cell r="A852">
            <v>2003</v>
          </cell>
          <cell r="B852">
            <v>5</v>
          </cell>
          <cell r="C852">
            <v>5</v>
          </cell>
          <cell r="D852">
            <v>90</v>
          </cell>
          <cell r="E852">
            <v>2</v>
          </cell>
          <cell r="F852" t="str">
            <v>TJS</v>
          </cell>
          <cell r="G852">
            <v>28</v>
          </cell>
          <cell r="H852">
            <v>64500</v>
          </cell>
          <cell r="I852">
            <v>2</v>
          </cell>
          <cell r="J852" t="str">
            <v>ТАК ПСБ "Ориёнбанк"</v>
          </cell>
          <cell r="K852">
            <v>1806000</v>
          </cell>
          <cell r="L852">
            <v>64500</v>
          </cell>
          <cell r="M852">
            <v>1</v>
          </cell>
          <cell r="N852">
            <v>1806000</v>
          </cell>
        </row>
        <row r="853">
          <cell r="A853">
            <v>2003</v>
          </cell>
          <cell r="B853">
            <v>5</v>
          </cell>
          <cell r="C853">
            <v>5</v>
          </cell>
          <cell r="D853">
            <v>187</v>
          </cell>
          <cell r="E853">
            <v>2</v>
          </cell>
          <cell r="F853" t="str">
            <v>TJS</v>
          </cell>
          <cell r="G853">
            <v>26</v>
          </cell>
          <cell r="H853">
            <v>3400</v>
          </cell>
          <cell r="I853">
            <v>1</v>
          </cell>
          <cell r="J853" t="str">
            <v>ТАК ПСБ "Ориёнбанк"</v>
          </cell>
          <cell r="K853">
            <v>88400</v>
          </cell>
          <cell r="L853">
            <v>3400</v>
          </cell>
          <cell r="M853">
            <v>1</v>
          </cell>
          <cell r="N853">
            <v>88400</v>
          </cell>
        </row>
        <row r="854">
          <cell r="A854">
            <v>2003</v>
          </cell>
          <cell r="B854">
            <v>5</v>
          </cell>
          <cell r="C854">
            <v>1</v>
          </cell>
          <cell r="D854">
            <v>356</v>
          </cell>
          <cell r="E854">
            <v>2</v>
          </cell>
          <cell r="F854" t="str">
            <v>TJS</v>
          </cell>
          <cell r="G854">
            <v>28</v>
          </cell>
          <cell r="H854">
            <v>10000</v>
          </cell>
          <cell r="I854">
            <v>1</v>
          </cell>
          <cell r="J854" t="str">
            <v>ТАК ПСБ "Ориёнбанк"</v>
          </cell>
          <cell r="K854">
            <v>280000</v>
          </cell>
          <cell r="L854">
            <v>10000</v>
          </cell>
          <cell r="M854">
            <v>1</v>
          </cell>
          <cell r="N854">
            <v>280000</v>
          </cell>
        </row>
        <row r="855">
          <cell r="A855">
            <v>2003</v>
          </cell>
          <cell r="B855">
            <v>5</v>
          </cell>
          <cell r="C855">
            <v>5</v>
          </cell>
          <cell r="D855">
            <v>90</v>
          </cell>
          <cell r="E855">
            <v>1</v>
          </cell>
          <cell r="F855" t="str">
            <v>TJS</v>
          </cell>
          <cell r="G855">
            <v>30</v>
          </cell>
          <cell r="H855">
            <v>127421</v>
          </cell>
          <cell r="I855">
            <v>1</v>
          </cell>
          <cell r="J855" t="str">
            <v>ТАК ПСБ "Ориёнбанк"</v>
          </cell>
          <cell r="K855">
            <v>3822630</v>
          </cell>
          <cell r="L855">
            <v>127421</v>
          </cell>
          <cell r="M855">
            <v>1</v>
          </cell>
          <cell r="N855">
            <v>3822630</v>
          </cell>
        </row>
        <row r="856">
          <cell r="A856">
            <v>2003</v>
          </cell>
          <cell r="B856">
            <v>5</v>
          </cell>
          <cell r="C856">
            <v>1</v>
          </cell>
          <cell r="D856">
            <v>360</v>
          </cell>
          <cell r="E856">
            <v>2</v>
          </cell>
          <cell r="F856" t="str">
            <v>TJS</v>
          </cell>
          <cell r="G856">
            <v>28</v>
          </cell>
          <cell r="H856">
            <v>266500</v>
          </cell>
          <cell r="I856">
            <v>6</v>
          </cell>
          <cell r="J856" t="str">
            <v>ТАК ПСБ "Ориёнбанк"</v>
          </cell>
          <cell r="K856">
            <v>7462000</v>
          </cell>
          <cell r="L856">
            <v>266500</v>
          </cell>
          <cell r="M856">
            <v>1</v>
          </cell>
          <cell r="N856">
            <v>7462000</v>
          </cell>
        </row>
        <row r="857">
          <cell r="A857">
            <v>2003</v>
          </cell>
          <cell r="B857">
            <v>5</v>
          </cell>
          <cell r="C857">
            <v>1</v>
          </cell>
          <cell r="D857">
            <v>180</v>
          </cell>
          <cell r="E857">
            <v>2</v>
          </cell>
          <cell r="F857" t="str">
            <v>TJS</v>
          </cell>
          <cell r="G857">
            <v>30</v>
          </cell>
          <cell r="H857">
            <v>77000</v>
          </cell>
          <cell r="I857">
            <v>15</v>
          </cell>
          <cell r="J857" t="str">
            <v>ТАК ПСБ "Ориёнбанк"</v>
          </cell>
          <cell r="K857">
            <v>2310000</v>
          </cell>
          <cell r="L857">
            <v>77000</v>
          </cell>
          <cell r="M857">
            <v>1</v>
          </cell>
          <cell r="N857">
            <v>2310000</v>
          </cell>
        </row>
        <row r="858">
          <cell r="A858">
            <v>2003</v>
          </cell>
          <cell r="B858">
            <v>5</v>
          </cell>
          <cell r="C858">
            <v>1</v>
          </cell>
          <cell r="D858">
            <v>180</v>
          </cell>
          <cell r="E858">
            <v>2</v>
          </cell>
          <cell r="F858" t="str">
            <v>TJS</v>
          </cell>
          <cell r="G858">
            <v>36</v>
          </cell>
          <cell r="H858">
            <v>33900</v>
          </cell>
          <cell r="I858">
            <v>12</v>
          </cell>
          <cell r="J858" t="str">
            <v>ТАК ПСБ "Ориёнбанк"</v>
          </cell>
          <cell r="K858">
            <v>1220400</v>
          </cell>
          <cell r="L858">
            <v>33900</v>
          </cell>
          <cell r="M858">
            <v>1</v>
          </cell>
          <cell r="N858">
            <v>1220400</v>
          </cell>
        </row>
        <row r="859">
          <cell r="A859">
            <v>2003</v>
          </cell>
          <cell r="B859">
            <v>5</v>
          </cell>
          <cell r="C859">
            <v>1</v>
          </cell>
          <cell r="D859">
            <v>360</v>
          </cell>
          <cell r="E859">
            <v>1</v>
          </cell>
          <cell r="F859" t="str">
            <v>TJS</v>
          </cell>
          <cell r="G859">
            <v>25</v>
          </cell>
          <cell r="H859">
            <v>200000</v>
          </cell>
          <cell r="I859">
            <v>1</v>
          </cell>
          <cell r="J859" t="str">
            <v>ТАК ПСБ "Ориёнбанк"</v>
          </cell>
          <cell r="K859">
            <v>5000000</v>
          </cell>
          <cell r="L859">
            <v>200000</v>
          </cell>
          <cell r="M859">
            <v>1</v>
          </cell>
          <cell r="N859">
            <v>5000000</v>
          </cell>
        </row>
        <row r="860">
          <cell r="A860">
            <v>2003</v>
          </cell>
          <cell r="B860">
            <v>5</v>
          </cell>
          <cell r="C860">
            <v>1</v>
          </cell>
          <cell r="D860">
            <v>279</v>
          </cell>
          <cell r="E860">
            <v>2</v>
          </cell>
          <cell r="F860" t="str">
            <v>TJS</v>
          </cell>
          <cell r="G860">
            <v>28</v>
          </cell>
          <cell r="H860">
            <v>24000</v>
          </cell>
          <cell r="I860">
            <v>1</v>
          </cell>
          <cell r="J860" t="str">
            <v>ТАК ПСБ "Ориёнбанк"</v>
          </cell>
          <cell r="K860">
            <v>672000</v>
          </cell>
          <cell r="L860">
            <v>24000</v>
          </cell>
          <cell r="M860">
            <v>1</v>
          </cell>
          <cell r="N860">
            <v>672000</v>
          </cell>
        </row>
        <row r="861">
          <cell r="A861">
            <v>2003</v>
          </cell>
          <cell r="B861">
            <v>5</v>
          </cell>
          <cell r="C861">
            <v>1</v>
          </cell>
          <cell r="D861">
            <v>329</v>
          </cell>
          <cell r="E861">
            <v>2</v>
          </cell>
          <cell r="F861" t="str">
            <v>TJS</v>
          </cell>
          <cell r="G861">
            <v>28</v>
          </cell>
          <cell r="H861">
            <v>60000</v>
          </cell>
          <cell r="I861">
            <v>1</v>
          </cell>
          <cell r="J861" t="str">
            <v>ТАК ПСБ "Ориёнбанк"</v>
          </cell>
          <cell r="K861">
            <v>1680000</v>
          </cell>
          <cell r="L861">
            <v>60000</v>
          </cell>
          <cell r="M861">
            <v>1</v>
          </cell>
          <cell r="N861">
            <v>1680000</v>
          </cell>
        </row>
        <row r="862">
          <cell r="A862">
            <v>2003</v>
          </cell>
          <cell r="B862">
            <v>5</v>
          </cell>
          <cell r="C862">
            <v>1</v>
          </cell>
          <cell r="D862">
            <v>204</v>
          </cell>
          <cell r="E862">
            <v>2</v>
          </cell>
          <cell r="F862" t="str">
            <v>TJS</v>
          </cell>
          <cell r="G862">
            <v>28</v>
          </cell>
          <cell r="H862">
            <v>10000</v>
          </cell>
          <cell r="I862">
            <v>1</v>
          </cell>
          <cell r="J862" t="str">
            <v>ТАК ПСБ "Ориёнбанк"</v>
          </cell>
          <cell r="K862">
            <v>280000</v>
          </cell>
          <cell r="L862">
            <v>10000</v>
          </cell>
          <cell r="M862">
            <v>1</v>
          </cell>
          <cell r="N862">
            <v>280000</v>
          </cell>
        </row>
        <row r="863">
          <cell r="A863">
            <v>2003</v>
          </cell>
          <cell r="B863">
            <v>5</v>
          </cell>
          <cell r="C863">
            <v>1</v>
          </cell>
          <cell r="D863">
            <v>61</v>
          </cell>
          <cell r="E863">
            <v>2</v>
          </cell>
          <cell r="F863" t="str">
            <v>TJS</v>
          </cell>
          <cell r="G863">
            <v>28</v>
          </cell>
          <cell r="H863">
            <v>25000</v>
          </cell>
          <cell r="I863">
            <v>1</v>
          </cell>
          <cell r="J863" t="str">
            <v>ТАК ПСБ "Ориёнбанк"</v>
          </cell>
          <cell r="K863">
            <v>700000</v>
          </cell>
          <cell r="L863">
            <v>25000</v>
          </cell>
          <cell r="M863">
            <v>1</v>
          </cell>
          <cell r="N863">
            <v>700000</v>
          </cell>
        </row>
        <row r="864">
          <cell r="A864">
            <v>2003</v>
          </cell>
          <cell r="B864">
            <v>5</v>
          </cell>
          <cell r="C864">
            <v>1</v>
          </cell>
          <cell r="D864">
            <v>329</v>
          </cell>
          <cell r="E864">
            <v>2</v>
          </cell>
          <cell r="F864" t="str">
            <v>TJS</v>
          </cell>
          <cell r="G864">
            <v>28</v>
          </cell>
          <cell r="H864">
            <v>44500</v>
          </cell>
          <cell r="I864">
            <v>1</v>
          </cell>
          <cell r="J864" t="str">
            <v>ТАК ПСБ "Ориёнбанк"</v>
          </cell>
          <cell r="K864">
            <v>1246000</v>
          </cell>
          <cell r="L864">
            <v>44500</v>
          </cell>
          <cell r="M864">
            <v>1</v>
          </cell>
          <cell r="N864">
            <v>1246000</v>
          </cell>
        </row>
        <row r="865">
          <cell r="A865">
            <v>2003</v>
          </cell>
          <cell r="B865">
            <v>5</v>
          </cell>
          <cell r="C865">
            <v>1</v>
          </cell>
          <cell r="D865">
            <v>240</v>
          </cell>
          <cell r="E865">
            <v>2</v>
          </cell>
          <cell r="F865" t="str">
            <v>TJS</v>
          </cell>
          <cell r="G865">
            <v>28</v>
          </cell>
          <cell r="H865">
            <v>200000</v>
          </cell>
          <cell r="I865">
            <v>1</v>
          </cell>
          <cell r="J865" t="str">
            <v>ТАК ПСБ "Ориёнбанк"</v>
          </cell>
          <cell r="K865">
            <v>5600000</v>
          </cell>
          <cell r="L865">
            <v>200000</v>
          </cell>
          <cell r="M865">
            <v>1</v>
          </cell>
          <cell r="N865">
            <v>5600000</v>
          </cell>
        </row>
        <row r="866">
          <cell r="A866">
            <v>2003</v>
          </cell>
          <cell r="B866">
            <v>5</v>
          </cell>
          <cell r="C866">
            <v>1</v>
          </cell>
          <cell r="D866">
            <v>352</v>
          </cell>
          <cell r="E866">
            <v>2</v>
          </cell>
          <cell r="F866" t="str">
            <v>TJS</v>
          </cell>
          <cell r="G866">
            <v>28</v>
          </cell>
          <cell r="H866">
            <v>50000</v>
          </cell>
          <cell r="I866">
            <v>1</v>
          </cell>
          <cell r="J866" t="str">
            <v>ТАК ПСБ "Ориёнбанк"</v>
          </cell>
          <cell r="K866">
            <v>1400000</v>
          </cell>
          <cell r="L866">
            <v>50000</v>
          </cell>
          <cell r="M866">
            <v>1</v>
          </cell>
          <cell r="N866">
            <v>1400000</v>
          </cell>
        </row>
        <row r="867">
          <cell r="A867">
            <v>2003</v>
          </cell>
          <cell r="B867">
            <v>5</v>
          </cell>
          <cell r="C867">
            <v>1</v>
          </cell>
          <cell r="D867">
            <v>329</v>
          </cell>
          <cell r="E867">
            <v>2</v>
          </cell>
          <cell r="F867" t="str">
            <v>TJS</v>
          </cell>
          <cell r="G867">
            <v>28</v>
          </cell>
          <cell r="H867">
            <v>10000</v>
          </cell>
          <cell r="I867">
            <v>1</v>
          </cell>
          <cell r="J867" t="str">
            <v>ТАК ПСБ "Ориёнбанк"</v>
          </cell>
          <cell r="K867">
            <v>280000</v>
          </cell>
          <cell r="L867">
            <v>10000</v>
          </cell>
          <cell r="M867">
            <v>1</v>
          </cell>
          <cell r="N867">
            <v>280000</v>
          </cell>
        </row>
        <row r="868">
          <cell r="A868">
            <v>2003</v>
          </cell>
          <cell r="B868">
            <v>5</v>
          </cell>
          <cell r="C868">
            <v>1</v>
          </cell>
          <cell r="D868">
            <v>265</v>
          </cell>
          <cell r="E868">
            <v>2</v>
          </cell>
          <cell r="F868" t="str">
            <v>TJS</v>
          </cell>
          <cell r="G868">
            <v>28</v>
          </cell>
          <cell r="H868">
            <v>10000</v>
          </cell>
          <cell r="I868">
            <v>1</v>
          </cell>
          <cell r="J868" t="str">
            <v>ТАК ПСБ "Ориёнбанк"</v>
          </cell>
          <cell r="K868">
            <v>280000</v>
          </cell>
          <cell r="L868">
            <v>10000</v>
          </cell>
          <cell r="M868">
            <v>1</v>
          </cell>
          <cell r="N868">
            <v>280000</v>
          </cell>
        </row>
        <row r="869">
          <cell r="A869">
            <v>2003</v>
          </cell>
          <cell r="B869">
            <v>5</v>
          </cell>
          <cell r="C869">
            <v>1</v>
          </cell>
          <cell r="D869">
            <v>350</v>
          </cell>
          <cell r="E869">
            <v>2</v>
          </cell>
          <cell r="F869" t="str">
            <v>TJS</v>
          </cell>
          <cell r="G869">
            <v>28</v>
          </cell>
          <cell r="H869">
            <v>15000</v>
          </cell>
          <cell r="I869">
            <v>1</v>
          </cell>
          <cell r="J869" t="str">
            <v>ТАК ПСБ "Ориёнбанк"</v>
          </cell>
          <cell r="K869">
            <v>420000</v>
          </cell>
          <cell r="L869">
            <v>15000</v>
          </cell>
          <cell r="M869">
            <v>1</v>
          </cell>
          <cell r="N869">
            <v>420000</v>
          </cell>
        </row>
        <row r="870">
          <cell r="A870">
            <v>2003</v>
          </cell>
          <cell r="B870">
            <v>5</v>
          </cell>
          <cell r="C870">
            <v>1</v>
          </cell>
          <cell r="D870">
            <v>296</v>
          </cell>
          <cell r="E870">
            <v>2</v>
          </cell>
          <cell r="F870" t="str">
            <v>TJS</v>
          </cell>
          <cell r="G870">
            <v>28</v>
          </cell>
          <cell r="H870">
            <v>27600</v>
          </cell>
          <cell r="I870">
            <v>1</v>
          </cell>
          <cell r="J870" t="str">
            <v>ТАК ПСБ "Ориёнбанк"</v>
          </cell>
          <cell r="K870">
            <v>772800</v>
          </cell>
          <cell r="L870">
            <v>27600</v>
          </cell>
          <cell r="M870">
            <v>1</v>
          </cell>
          <cell r="N870">
            <v>772800</v>
          </cell>
        </row>
        <row r="871">
          <cell r="A871">
            <v>2003</v>
          </cell>
          <cell r="B871">
            <v>5</v>
          </cell>
          <cell r="C871">
            <v>1</v>
          </cell>
          <cell r="D871">
            <v>181</v>
          </cell>
          <cell r="E871">
            <v>2</v>
          </cell>
          <cell r="F871" t="str">
            <v>TJS</v>
          </cell>
          <cell r="G871">
            <v>28</v>
          </cell>
          <cell r="H871">
            <v>3500</v>
          </cell>
          <cell r="I871">
            <v>1</v>
          </cell>
          <cell r="J871" t="str">
            <v>ТАК ПСБ "Ориёнбанк"</v>
          </cell>
          <cell r="K871">
            <v>98000</v>
          </cell>
          <cell r="L871">
            <v>3500</v>
          </cell>
          <cell r="M871">
            <v>1</v>
          </cell>
          <cell r="N871">
            <v>98000</v>
          </cell>
        </row>
        <row r="872">
          <cell r="A872">
            <v>2003</v>
          </cell>
          <cell r="B872">
            <v>5</v>
          </cell>
          <cell r="C872">
            <v>1</v>
          </cell>
          <cell r="D872">
            <v>330</v>
          </cell>
          <cell r="E872">
            <v>2</v>
          </cell>
          <cell r="F872" t="str">
            <v>TJS</v>
          </cell>
          <cell r="G872">
            <v>28</v>
          </cell>
          <cell r="H872">
            <v>27000</v>
          </cell>
          <cell r="I872">
            <v>1</v>
          </cell>
          <cell r="J872" t="str">
            <v>ТАК ПСБ "Ориёнбанк"</v>
          </cell>
          <cell r="K872">
            <v>756000</v>
          </cell>
          <cell r="L872">
            <v>27000</v>
          </cell>
          <cell r="M872">
            <v>1</v>
          </cell>
          <cell r="N872">
            <v>756000</v>
          </cell>
        </row>
        <row r="873">
          <cell r="A873">
            <v>2003</v>
          </cell>
          <cell r="B873">
            <v>5</v>
          </cell>
          <cell r="C873">
            <v>1</v>
          </cell>
          <cell r="D873">
            <v>247</v>
          </cell>
          <cell r="E873">
            <v>2</v>
          </cell>
          <cell r="F873" t="str">
            <v>TJS</v>
          </cell>
          <cell r="G873">
            <v>28</v>
          </cell>
          <cell r="H873">
            <v>150000</v>
          </cell>
          <cell r="I873">
            <v>1</v>
          </cell>
          <cell r="J873" t="str">
            <v>ТАК ПСБ "Ориёнбанк"</v>
          </cell>
          <cell r="K873">
            <v>4200000</v>
          </cell>
          <cell r="L873">
            <v>150000</v>
          </cell>
          <cell r="M873">
            <v>1</v>
          </cell>
          <cell r="N873">
            <v>4200000</v>
          </cell>
        </row>
        <row r="874">
          <cell r="A874">
            <v>2003</v>
          </cell>
          <cell r="B874">
            <v>5</v>
          </cell>
          <cell r="C874">
            <v>1</v>
          </cell>
          <cell r="D874">
            <v>330</v>
          </cell>
          <cell r="E874">
            <v>1</v>
          </cell>
          <cell r="F874" t="str">
            <v>TJS</v>
          </cell>
          <cell r="G874">
            <v>28</v>
          </cell>
          <cell r="H874">
            <v>150000</v>
          </cell>
          <cell r="I874">
            <v>1</v>
          </cell>
          <cell r="J874" t="str">
            <v>ТАК ПСБ "Ориёнбанк"</v>
          </cell>
          <cell r="K874">
            <v>4200000</v>
          </cell>
          <cell r="L874">
            <v>150000</v>
          </cell>
          <cell r="M874">
            <v>1</v>
          </cell>
          <cell r="N874">
            <v>4200000</v>
          </cell>
        </row>
        <row r="875">
          <cell r="A875">
            <v>2003</v>
          </cell>
          <cell r="B875">
            <v>5</v>
          </cell>
          <cell r="C875">
            <v>1</v>
          </cell>
          <cell r="D875">
            <v>195</v>
          </cell>
          <cell r="E875">
            <v>1</v>
          </cell>
          <cell r="F875" t="str">
            <v>TJS</v>
          </cell>
          <cell r="G875">
            <v>28</v>
          </cell>
          <cell r="H875">
            <v>10000</v>
          </cell>
          <cell r="I875">
            <v>1</v>
          </cell>
          <cell r="J875" t="str">
            <v>ТАК ПСБ "Ориёнбанк"</v>
          </cell>
          <cell r="K875">
            <v>280000</v>
          </cell>
          <cell r="L875">
            <v>10000</v>
          </cell>
          <cell r="M875">
            <v>1</v>
          </cell>
          <cell r="N875">
            <v>280000</v>
          </cell>
        </row>
        <row r="876">
          <cell r="A876">
            <v>2003</v>
          </cell>
          <cell r="B876">
            <v>5</v>
          </cell>
          <cell r="C876">
            <v>1</v>
          </cell>
          <cell r="D876">
            <v>1080</v>
          </cell>
          <cell r="E876">
            <v>2</v>
          </cell>
          <cell r="F876" t="str">
            <v>TJS</v>
          </cell>
          <cell r="G876">
            <v>20</v>
          </cell>
          <cell r="H876">
            <v>1500</v>
          </cell>
          <cell r="I876">
            <v>1</v>
          </cell>
          <cell r="J876" t="str">
            <v>ТАК ПСБ "Ориёнбанк"</v>
          </cell>
          <cell r="K876">
            <v>30000</v>
          </cell>
          <cell r="L876">
            <v>1500</v>
          </cell>
          <cell r="M876">
            <v>1</v>
          </cell>
          <cell r="N876">
            <v>30000</v>
          </cell>
        </row>
        <row r="877">
          <cell r="A877">
            <v>2003</v>
          </cell>
          <cell r="B877">
            <v>5</v>
          </cell>
          <cell r="C877">
            <v>1</v>
          </cell>
          <cell r="D877">
            <v>358</v>
          </cell>
          <cell r="E877">
            <v>2</v>
          </cell>
          <cell r="F877" t="str">
            <v>TJS</v>
          </cell>
          <cell r="G877">
            <v>36</v>
          </cell>
          <cell r="H877">
            <v>4000</v>
          </cell>
          <cell r="I877">
            <v>1</v>
          </cell>
          <cell r="J877" t="str">
            <v>ТАК ПСБ "Ориёнбанк"</v>
          </cell>
          <cell r="K877">
            <v>144000</v>
          </cell>
          <cell r="L877">
            <v>4000</v>
          </cell>
          <cell r="M877">
            <v>1</v>
          </cell>
          <cell r="N877">
            <v>144000</v>
          </cell>
        </row>
        <row r="878">
          <cell r="A878">
            <v>2003</v>
          </cell>
          <cell r="B878">
            <v>5</v>
          </cell>
          <cell r="C878">
            <v>1</v>
          </cell>
          <cell r="D878">
            <v>26</v>
          </cell>
          <cell r="E878">
            <v>1</v>
          </cell>
          <cell r="F878" t="str">
            <v>TJS</v>
          </cell>
          <cell r="G878">
            <v>36</v>
          </cell>
          <cell r="H878">
            <v>20000</v>
          </cell>
          <cell r="I878">
            <v>1</v>
          </cell>
          <cell r="J878" t="str">
            <v>ТАК ПСБ "Ориёнбанк"</v>
          </cell>
          <cell r="K878">
            <v>720000</v>
          </cell>
          <cell r="L878">
            <v>20000</v>
          </cell>
          <cell r="M878">
            <v>1</v>
          </cell>
          <cell r="N878">
            <v>720000</v>
          </cell>
        </row>
        <row r="879">
          <cell r="A879">
            <v>2003</v>
          </cell>
          <cell r="B879">
            <v>5</v>
          </cell>
          <cell r="C879">
            <v>1</v>
          </cell>
          <cell r="D879">
            <v>182</v>
          </cell>
          <cell r="E879">
            <v>1</v>
          </cell>
          <cell r="F879" t="str">
            <v>TJS</v>
          </cell>
          <cell r="G879">
            <v>42</v>
          </cell>
          <cell r="H879">
            <v>2500</v>
          </cell>
          <cell r="I879">
            <v>1</v>
          </cell>
          <cell r="J879" t="str">
            <v>ТАК ПСБ "Ориёнбанк"</v>
          </cell>
          <cell r="K879">
            <v>105000</v>
          </cell>
          <cell r="L879">
            <v>2500</v>
          </cell>
          <cell r="M879">
            <v>1</v>
          </cell>
          <cell r="N879">
            <v>105000</v>
          </cell>
        </row>
        <row r="880">
          <cell r="A880">
            <v>2003</v>
          </cell>
          <cell r="B880">
            <v>5</v>
          </cell>
          <cell r="C880">
            <v>1</v>
          </cell>
          <cell r="D880">
            <v>241</v>
          </cell>
          <cell r="E880">
            <v>2</v>
          </cell>
          <cell r="F880" t="str">
            <v>TJS</v>
          </cell>
          <cell r="G880">
            <v>42</v>
          </cell>
          <cell r="H880">
            <v>5000</v>
          </cell>
          <cell r="I880">
            <v>2</v>
          </cell>
          <cell r="J880" t="str">
            <v>ТАК ПСБ "Ориёнбанк"</v>
          </cell>
          <cell r="K880">
            <v>210000</v>
          </cell>
          <cell r="L880">
            <v>5000</v>
          </cell>
          <cell r="M880">
            <v>1</v>
          </cell>
          <cell r="N880">
            <v>210000</v>
          </cell>
        </row>
        <row r="881">
          <cell r="A881">
            <v>2003</v>
          </cell>
          <cell r="B881">
            <v>5</v>
          </cell>
          <cell r="C881">
            <v>1</v>
          </cell>
          <cell r="D881">
            <v>120</v>
          </cell>
          <cell r="E881">
            <v>2</v>
          </cell>
          <cell r="F881" t="str">
            <v>TJS</v>
          </cell>
          <cell r="G881">
            <v>42</v>
          </cell>
          <cell r="H881">
            <v>600</v>
          </cell>
          <cell r="I881">
            <v>1</v>
          </cell>
          <cell r="J881" t="str">
            <v>ТАК ПСБ "Ориёнбанк"</v>
          </cell>
          <cell r="K881">
            <v>25200</v>
          </cell>
          <cell r="L881">
            <v>600</v>
          </cell>
          <cell r="M881">
            <v>1</v>
          </cell>
          <cell r="N881">
            <v>25200</v>
          </cell>
        </row>
        <row r="882">
          <cell r="A882">
            <v>2003</v>
          </cell>
          <cell r="B882">
            <v>5</v>
          </cell>
          <cell r="C882">
            <v>1</v>
          </cell>
          <cell r="D882">
            <v>1080</v>
          </cell>
          <cell r="E882">
            <v>1</v>
          </cell>
          <cell r="F882" t="str">
            <v>TJS</v>
          </cell>
          <cell r="G882">
            <v>22</v>
          </cell>
          <cell r="H882">
            <v>700</v>
          </cell>
          <cell r="I882">
            <v>1</v>
          </cell>
          <cell r="J882" t="str">
            <v>ТАК ПСБ "Ориёнбанк"</v>
          </cell>
          <cell r="K882">
            <v>15400</v>
          </cell>
          <cell r="L882">
            <v>700</v>
          </cell>
          <cell r="M882">
            <v>1</v>
          </cell>
          <cell r="N882">
            <v>15400</v>
          </cell>
        </row>
        <row r="883">
          <cell r="A883">
            <v>2003</v>
          </cell>
          <cell r="B883">
            <v>5</v>
          </cell>
          <cell r="C883">
            <v>1</v>
          </cell>
          <cell r="D883">
            <v>211</v>
          </cell>
          <cell r="E883">
            <v>2</v>
          </cell>
          <cell r="F883" t="str">
            <v>TJS</v>
          </cell>
          <cell r="G883">
            <v>48</v>
          </cell>
          <cell r="H883">
            <v>5000</v>
          </cell>
          <cell r="I883">
            <v>1</v>
          </cell>
          <cell r="J883" t="str">
            <v>ТАК ПСБ "Ориёнбанк"</v>
          </cell>
          <cell r="K883">
            <v>240000</v>
          </cell>
          <cell r="L883">
            <v>5000</v>
          </cell>
          <cell r="M883">
            <v>1</v>
          </cell>
          <cell r="N883">
            <v>240000</v>
          </cell>
        </row>
        <row r="884">
          <cell r="A884">
            <v>2003</v>
          </cell>
          <cell r="B884">
            <v>5</v>
          </cell>
          <cell r="C884">
            <v>1</v>
          </cell>
          <cell r="D884">
            <v>179</v>
          </cell>
          <cell r="E884">
            <v>2</v>
          </cell>
          <cell r="F884" t="str">
            <v>TJS</v>
          </cell>
          <cell r="G884">
            <v>30</v>
          </cell>
          <cell r="H884">
            <v>665</v>
          </cell>
          <cell r="I884">
            <v>1</v>
          </cell>
          <cell r="J884" t="str">
            <v>ТАК ПСБ "Ориёнбанк"</v>
          </cell>
          <cell r="K884">
            <v>19950</v>
          </cell>
          <cell r="L884">
            <v>665</v>
          </cell>
          <cell r="M884">
            <v>1</v>
          </cell>
          <cell r="N884">
            <v>19950</v>
          </cell>
        </row>
        <row r="885">
          <cell r="A885">
            <v>2003</v>
          </cell>
          <cell r="B885">
            <v>5</v>
          </cell>
          <cell r="C885">
            <v>1</v>
          </cell>
          <cell r="D885">
            <v>150</v>
          </cell>
          <cell r="E885">
            <v>2</v>
          </cell>
          <cell r="F885" t="str">
            <v>TJS</v>
          </cell>
          <cell r="G885">
            <v>36</v>
          </cell>
          <cell r="H885">
            <v>10000</v>
          </cell>
          <cell r="I885">
            <v>4</v>
          </cell>
          <cell r="J885" t="str">
            <v>ТАК ПСБ "Ориёнбанк"</v>
          </cell>
          <cell r="K885">
            <v>360000</v>
          </cell>
          <cell r="L885">
            <v>10000</v>
          </cell>
          <cell r="M885">
            <v>1</v>
          </cell>
          <cell r="N885">
            <v>360000</v>
          </cell>
        </row>
        <row r="886">
          <cell r="A886">
            <v>2003</v>
          </cell>
          <cell r="B886">
            <v>5</v>
          </cell>
          <cell r="C886">
            <v>1</v>
          </cell>
          <cell r="D886">
            <v>180</v>
          </cell>
          <cell r="E886">
            <v>1</v>
          </cell>
          <cell r="F886" t="str">
            <v>TJS</v>
          </cell>
          <cell r="G886">
            <v>36</v>
          </cell>
          <cell r="H886">
            <v>4500</v>
          </cell>
          <cell r="I886">
            <v>3</v>
          </cell>
          <cell r="J886" t="str">
            <v>ТАК ПСБ "Ориёнбанк"</v>
          </cell>
          <cell r="K886">
            <v>162000</v>
          </cell>
          <cell r="L886">
            <v>4500</v>
          </cell>
          <cell r="M886">
            <v>1</v>
          </cell>
          <cell r="N886">
            <v>162000</v>
          </cell>
        </row>
        <row r="887">
          <cell r="A887">
            <v>2003</v>
          </cell>
          <cell r="B887">
            <v>5</v>
          </cell>
          <cell r="C887">
            <v>1</v>
          </cell>
          <cell r="D887">
            <v>360</v>
          </cell>
          <cell r="E887">
            <v>2</v>
          </cell>
          <cell r="F887" t="str">
            <v>TJS</v>
          </cell>
          <cell r="G887">
            <v>36</v>
          </cell>
          <cell r="H887">
            <v>29000</v>
          </cell>
          <cell r="I887">
            <v>10</v>
          </cell>
          <cell r="J887" t="str">
            <v>ТАК ПСБ "Ориёнбанк"</v>
          </cell>
          <cell r="K887">
            <v>1044000</v>
          </cell>
          <cell r="L887">
            <v>29000</v>
          </cell>
          <cell r="M887">
            <v>1</v>
          </cell>
          <cell r="N887">
            <v>1044000</v>
          </cell>
        </row>
        <row r="888">
          <cell r="A888">
            <v>2003</v>
          </cell>
          <cell r="B888">
            <v>5</v>
          </cell>
          <cell r="C888">
            <v>1</v>
          </cell>
          <cell r="D888">
            <v>175</v>
          </cell>
          <cell r="E888">
            <v>2</v>
          </cell>
          <cell r="F888" t="str">
            <v>TJS</v>
          </cell>
          <cell r="G888">
            <v>36</v>
          </cell>
          <cell r="H888">
            <v>6000</v>
          </cell>
          <cell r="I888">
            <v>1</v>
          </cell>
          <cell r="J888" t="str">
            <v>ТАК ПСБ "Ориёнбанк"</v>
          </cell>
          <cell r="K888">
            <v>216000</v>
          </cell>
          <cell r="L888">
            <v>6000</v>
          </cell>
          <cell r="M888">
            <v>1</v>
          </cell>
          <cell r="N888">
            <v>216000</v>
          </cell>
        </row>
        <row r="889">
          <cell r="A889">
            <v>2003</v>
          </cell>
          <cell r="B889">
            <v>5</v>
          </cell>
          <cell r="C889">
            <v>1</v>
          </cell>
          <cell r="D889">
            <v>210</v>
          </cell>
          <cell r="E889">
            <v>2</v>
          </cell>
          <cell r="F889" t="str">
            <v>TJS</v>
          </cell>
          <cell r="G889">
            <v>40</v>
          </cell>
          <cell r="H889">
            <v>400</v>
          </cell>
          <cell r="I889">
            <v>1</v>
          </cell>
          <cell r="J889" t="str">
            <v>ТАК ПСБ "Ориёнбанк"</v>
          </cell>
          <cell r="K889">
            <v>16000</v>
          </cell>
          <cell r="L889">
            <v>400</v>
          </cell>
          <cell r="M889">
            <v>1</v>
          </cell>
          <cell r="N889">
            <v>16000</v>
          </cell>
        </row>
        <row r="890">
          <cell r="A890">
            <v>2003</v>
          </cell>
          <cell r="B890">
            <v>5</v>
          </cell>
          <cell r="C890">
            <v>1</v>
          </cell>
          <cell r="D890">
            <v>240</v>
          </cell>
          <cell r="E890">
            <v>2</v>
          </cell>
          <cell r="F890" t="str">
            <v>TJS</v>
          </cell>
          <cell r="G890">
            <v>42</v>
          </cell>
          <cell r="H890">
            <v>8500</v>
          </cell>
          <cell r="I890">
            <v>2</v>
          </cell>
          <cell r="J890" t="str">
            <v>ТАК ПСБ "Ориёнбанк"</v>
          </cell>
          <cell r="K890">
            <v>357000</v>
          </cell>
          <cell r="L890">
            <v>8500</v>
          </cell>
          <cell r="M890">
            <v>1</v>
          </cell>
          <cell r="N890">
            <v>357000</v>
          </cell>
        </row>
        <row r="891">
          <cell r="A891">
            <v>2003</v>
          </cell>
          <cell r="B891">
            <v>5</v>
          </cell>
          <cell r="C891">
            <v>1</v>
          </cell>
          <cell r="D891">
            <v>360</v>
          </cell>
          <cell r="E891">
            <v>2</v>
          </cell>
          <cell r="F891" t="str">
            <v>TJS</v>
          </cell>
          <cell r="G891">
            <v>40</v>
          </cell>
          <cell r="H891">
            <v>20000</v>
          </cell>
          <cell r="I891">
            <v>1</v>
          </cell>
          <cell r="J891" t="str">
            <v>ТАК ПСБ "Ориёнбанк"</v>
          </cell>
          <cell r="K891">
            <v>800000</v>
          </cell>
          <cell r="L891">
            <v>20000</v>
          </cell>
          <cell r="M891">
            <v>1</v>
          </cell>
          <cell r="N891">
            <v>800000</v>
          </cell>
        </row>
        <row r="892">
          <cell r="A892">
            <v>2003</v>
          </cell>
          <cell r="B892">
            <v>5</v>
          </cell>
          <cell r="C892">
            <v>1</v>
          </cell>
          <cell r="D892">
            <v>210</v>
          </cell>
          <cell r="E892">
            <v>2</v>
          </cell>
          <cell r="F892" t="str">
            <v>TJS</v>
          </cell>
          <cell r="G892">
            <v>42</v>
          </cell>
          <cell r="H892">
            <v>1200</v>
          </cell>
          <cell r="I892">
            <v>1</v>
          </cell>
          <cell r="J892" t="str">
            <v>ТАК ПСБ "Ориёнбанк"</v>
          </cell>
          <cell r="K892">
            <v>50400</v>
          </cell>
          <cell r="L892">
            <v>1200</v>
          </cell>
          <cell r="M892">
            <v>1</v>
          </cell>
          <cell r="N892">
            <v>50400</v>
          </cell>
        </row>
        <row r="893">
          <cell r="A893">
            <v>2003</v>
          </cell>
          <cell r="B893">
            <v>5</v>
          </cell>
          <cell r="C893">
            <v>1</v>
          </cell>
          <cell r="D893">
            <v>210</v>
          </cell>
          <cell r="E893">
            <v>2</v>
          </cell>
          <cell r="F893" t="str">
            <v>TJS</v>
          </cell>
          <cell r="G893">
            <v>40</v>
          </cell>
          <cell r="H893">
            <v>5000</v>
          </cell>
          <cell r="I893">
            <v>1</v>
          </cell>
          <cell r="J893" t="str">
            <v>ТАК ПСБ "Ориёнбанк"</v>
          </cell>
          <cell r="K893">
            <v>200000</v>
          </cell>
          <cell r="L893">
            <v>5000</v>
          </cell>
          <cell r="M893">
            <v>1</v>
          </cell>
          <cell r="N893">
            <v>200000</v>
          </cell>
        </row>
        <row r="894">
          <cell r="A894">
            <v>2003</v>
          </cell>
          <cell r="B894">
            <v>5</v>
          </cell>
          <cell r="C894">
            <v>1</v>
          </cell>
          <cell r="D894">
            <v>361</v>
          </cell>
          <cell r="E894">
            <v>2</v>
          </cell>
          <cell r="F894" t="str">
            <v>TJS</v>
          </cell>
          <cell r="G894">
            <v>28</v>
          </cell>
          <cell r="H894">
            <v>2500</v>
          </cell>
          <cell r="I894">
            <v>1</v>
          </cell>
          <cell r="J894" t="str">
            <v>ТАК ПСБ "Ориёнбанк"</v>
          </cell>
          <cell r="K894">
            <v>70000</v>
          </cell>
          <cell r="L894">
            <v>2500</v>
          </cell>
          <cell r="M894">
            <v>1</v>
          </cell>
          <cell r="N894">
            <v>70000</v>
          </cell>
        </row>
        <row r="895">
          <cell r="A895">
            <v>2003</v>
          </cell>
          <cell r="B895">
            <v>5</v>
          </cell>
          <cell r="C895">
            <v>1</v>
          </cell>
          <cell r="D895">
            <v>330</v>
          </cell>
          <cell r="E895">
            <v>2</v>
          </cell>
          <cell r="F895" t="str">
            <v>TJS</v>
          </cell>
          <cell r="G895">
            <v>36</v>
          </cell>
          <cell r="H895">
            <v>20000</v>
          </cell>
          <cell r="I895">
            <v>1</v>
          </cell>
          <cell r="J895" t="str">
            <v>ТАК ПСБ "Ориёнбанк"</v>
          </cell>
          <cell r="K895">
            <v>720000</v>
          </cell>
          <cell r="L895">
            <v>20000</v>
          </cell>
          <cell r="M895">
            <v>1</v>
          </cell>
          <cell r="N895">
            <v>720000</v>
          </cell>
        </row>
        <row r="896">
          <cell r="A896">
            <v>2003</v>
          </cell>
          <cell r="B896">
            <v>5</v>
          </cell>
          <cell r="C896">
            <v>1</v>
          </cell>
          <cell r="D896">
            <v>240</v>
          </cell>
          <cell r="E896">
            <v>2</v>
          </cell>
          <cell r="F896" t="str">
            <v>TJS</v>
          </cell>
          <cell r="G896">
            <v>36</v>
          </cell>
          <cell r="H896">
            <v>2500</v>
          </cell>
          <cell r="I896">
            <v>1</v>
          </cell>
          <cell r="J896" t="str">
            <v>ТАК ПСБ "Ориёнбанк"</v>
          </cell>
          <cell r="K896">
            <v>90000</v>
          </cell>
          <cell r="L896">
            <v>2500</v>
          </cell>
          <cell r="M896">
            <v>1</v>
          </cell>
          <cell r="N896">
            <v>90000</v>
          </cell>
        </row>
        <row r="897">
          <cell r="A897">
            <v>2003</v>
          </cell>
          <cell r="B897">
            <v>5</v>
          </cell>
          <cell r="C897">
            <v>1</v>
          </cell>
          <cell r="D897">
            <v>243</v>
          </cell>
          <cell r="E897">
            <v>2</v>
          </cell>
          <cell r="F897" t="str">
            <v>TJS</v>
          </cell>
          <cell r="G897">
            <v>30</v>
          </cell>
          <cell r="H897">
            <v>2500</v>
          </cell>
          <cell r="I897">
            <v>1</v>
          </cell>
          <cell r="J897" t="str">
            <v>ТАК ПСБ "Ориёнбанк"</v>
          </cell>
          <cell r="K897">
            <v>75000</v>
          </cell>
          <cell r="L897">
            <v>2500</v>
          </cell>
          <cell r="M897">
            <v>1</v>
          </cell>
          <cell r="N897">
            <v>75000</v>
          </cell>
        </row>
        <row r="898">
          <cell r="A898">
            <v>2003</v>
          </cell>
          <cell r="B898">
            <v>5</v>
          </cell>
          <cell r="C898">
            <v>1</v>
          </cell>
          <cell r="D898">
            <v>150</v>
          </cell>
          <cell r="E898">
            <v>2</v>
          </cell>
          <cell r="F898" t="str">
            <v>TJS</v>
          </cell>
          <cell r="G898">
            <v>30</v>
          </cell>
          <cell r="H898">
            <v>1000</v>
          </cell>
          <cell r="I898">
            <v>1</v>
          </cell>
          <cell r="J898" t="str">
            <v>ТАК ПСБ "Ориёнбанк"</v>
          </cell>
          <cell r="K898">
            <v>30000</v>
          </cell>
          <cell r="L898">
            <v>1000</v>
          </cell>
          <cell r="M898">
            <v>1</v>
          </cell>
          <cell r="N898">
            <v>30000</v>
          </cell>
        </row>
        <row r="899">
          <cell r="A899">
            <v>2003</v>
          </cell>
          <cell r="B899">
            <v>5</v>
          </cell>
          <cell r="C899">
            <v>1</v>
          </cell>
          <cell r="D899">
            <v>240</v>
          </cell>
          <cell r="E899">
            <v>2</v>
          </cell>
          <cell r="F899" t="str">
            <v>TJS</v>
          </cell>
          <cell r="G899">
            <v>30</v>
          </cell>
          <cell r="H899">
            <v>1600</v>
          </cell>
          <cell r="I899">
            <v>1</v>
          </cell>
          <cell r="J899" t="str">
            <v>ТАК ПСБ "Ориёнбанк"</v>
          </cell>
          <cell r="K899">
            <v>48000</v>
          </cell>
          <cell r="L899">
            <v>1600</v>
          </cell>
          <cell r="M899">
            <v>1</v>
          </cell>
          <cell r="N899">
            <v>48000</v>
          </cell>
        </row>
        <row r="900">
          <cell r="A900">
            <v>2003</v>
          </cell>
          <cell r="B900">
            <v>5</v>
          </cell>
          <cell r="C900">
            <v>1</v>
          </cell>
          <cell r="D900">
            <v>182</v>
          </cell>
          <cell r="E900">
            <v>2</v>
          </cell>
          <cell r="F900" t="str">
            <v>TJS</v>
          </cell>
          <cell r="G900">
            <v>36</v>
          </cell>
          <cell r="H900">
            <v>500</v>
          </cell>
          <cell r="I900">
            <v>1</v>
          </cell>
          <cell r="J900" t="str">
            <v>ТАК ПСБ "Ориёнбанк"</v>
          </cell>
          <cell r="K900">
            <v>18000</v>
          </cell>
          <cell r="L900">
            <v>500</v>
          </cell>
          <cell r="M900">
            <v>1</v>
          </cell>
          <cell r="N900">
            <v>18000</v>
          </cell>
        </row>
        <row r="901">
          <cell r="A901">
            <v>2003</v>
          </cell>
          <cell r="B901">
            <v>5</v>
          </cell>
          <cell r="C901">
            <v>1</v>
          </cell>
          <cell r="D901">
            <v>362</v>
          </cell>
          <cell r="E901">
            <v>1</v>
          </cell>
          <cell r="F901" t="str">
            <v>TJS</v>
          </cell>
          <cell r="G901">
            <v>36</v>
          </cell>
          <cell r="H901">
            <v>25000</v>
          </cell>
          <cell r="I901">
            <v>1</v>
          </cell>
          <cell r="J901" t="str">
            <v>ТАК ПСБ "Ориёнбанк"</v>
          </cell>
          <cell r="K901">
            <v>900000</v>
          </cell>
          <cell r="L901">
            <v>25000</v>
          </cell>
          <cell r="M901">
            <v>1</v>
          </cell>
          <cell r="N901">
            <v>900000</v>
          </cell>
        </row>
        <row r="902">
          <cell r="A902">
            <v>2003</v>
          </cell>
          <cell r="B902">
            <v>5</v>
          </cell>
          <cell r="C902">
            <v>1</v>
          </cell>
          <cell r="D902">
            <v>90</v>
          </cell>
          <cell r="E902">
            <v>1</v>
          </cell>
          <cell r="F902" t="str">
            <v>TJS</v>
          </cell>
          <cell r="G902">
            <v>36</v>
          </cell>
          <cell r="H902">
            <v>2500</v>
          </cell>
          <cell r="I902">
            <v>1</v>
          </cell>
          <cell r="J902" t="str">
            <v>ТАК ПСБ "Ориёнбанк"</v>
          </cell>
          <cell r="K902">
            <v>90000</v>
          </cell>
          <cell r="L902">
            <v>2500</v>
          </cell>
          <cell r="M902">
            <v>1</v>
          </cell>
          <cell r="N902">
            <v>90000</v>
          </cell>
        </row>
        <row r="903">
          <cell r="A903">
            <v>2003</v>
          </cell>
          <cell r="B903">
            <v>5</v>
          </cell>
          <cell r="C903">
            <v>1</v>
          </cell>
          <cell r="D903">
            <v>358</v>
          </cell>
          <cell r="E903">
            <v>1</v>
          </cell>
          <cell r="F903" t="str">
            <v>TJS</v>
          </cell>
          <cell r="G903">
            <v>28</v>
          </cell>
          <cell r="H903">
            <v>90000</v>
          </cell>
          <cell r="I903">
            <v>1</v>
          </cell>
          <cell r="J903" t="str">
            <v>ТАК ПСБ "Ориёнбанк"</v>
          </cell>
          <cell r="K903">
            <v>2520000</v>
          </cell>
          <cell r="L903">
            <v>90000</v>
          </cell>
          <cell r="M903">
            <v>1</v>
          </cell>
          <cell r="N903">
            <v>2520000</v>
          </cell>
        </row>
        <row r="904">
          <cell r="A904">
            <v>2003</v>
          </cell>
          <cell r="B904">
            <v>5</v>
          </cell>
          <cell r="C904">
            <v>1</v>
          </cell>
          <cell r="D904">
            <v>270</v>
          </cell>
          <cell r="E904">
            <v>2</v>
          </cell>
          <cell r="F904" t="str">
            <v>TJS</v>
          </cell>
          <cell r="G904">
            <v>28</v>
          </cell>
          <cell r="H904">
            <v>95000</v>
          </cell>
          <cell r="I904">
            <v>2</v>
          </cell>
          <cell r="J904" t="str">
            <v>ТАК ПСБ "Ориёнбанк"</v>
          </cell>
          <cell r="K904">
            <v>2660000</v>
          </cell>
          <cell r="L904">
            <v>95000</v>
          </cell>
          <cell r="M904">
            <v>1</v>
          </cell>
          <cell r="N904">
            <v>2660000</v>
          </cell>
        </row>
        <row r="905">
          <cell r="A905">
            <v>2003</v>
          </cell>
          <cell r="B905">
            <v>5</v>
          </cell>
          <cell r="C905">
            <v>1</v>
          </cell>
          <cell r="D905">
            <v>329</v>
          </cell>
          <cell r="E905">
            <v>1</v>
          </cell>
          <cell r="F905" t="str">
            <v>TJS</v>
          </cell>
          <cell r="G905">
            <v>28</v>
          </cell>
          <cell r="H905">
            <v>3500</v>
          </cell>
          <cell r="I905">
            <v>1</v>
          </cell>
          <cell r="J905" t="str">
            <v>ТАК ПСБ "Ориёнбанк"</v>
          </cell>
          <cell r="K905">
            <v>98000</v>
          </cell>
          <cell r="L905">
            <v>3500</v>
          </cell>
          <cell r="M905">
            <v>1</v>
          </cell>
          <cell r="N905">
            <v>98000</v>
          </cell>
        </row>
        <row r="906">
          <cell r="A906">
            <v>2003</v>
          </cell>
          <cell r="B906">
            <v>5</v>
          </cell>
          <cell r="C906">
            <v>5</v>
          </cell>
          <cell r="D906">
            <v>230</v>
          </cell>
          <cell r="E906">
            <v>1</v>
          </cell>
          <cell r="F906" t="str">
            <v>TJS</v>
          </cell>
          <cell r="G906">
            <v>25</v>
          </cell>
          <cell r="H906">
            <v>138000</v>
          </cell>
          <cell r="I906">
            <v>1</v>
          </cell>
          <cell r="J906" t="str">
            <v>ТАК ПСБ "Ориёнбанк"</v>
          </cell>
          <cell r="K906">
            <v>3450000</v>
          </cell>
          <cell r="L906">
            <v>138000</v>
          </cell>
          <cell r="M906">
            <v>1</v>
          </cell>
          <cell r="N906">
            <v>3450000</v>
          </cell>
        </row>
        <row r="907">
          <cell r="A907">
            <v>2003</v>
          </cell>
          <cell r="B907">
            <v>5</v>
          </cell>
          <cell r="C907">
            <v>1</v>
          </cell>
          <cell r="D907">
            <v>322</v>
          </cell>
          <cell r="E907">
            <v>1</v>
          </cell>
          <cell r="F907" t="str">
            <v>TJS</v>
          </cell>
          <cell r="G907">
            <v>36</v>
          </cell>
          <cell r="H907">
            <v>32500</v>
          </cell>
          <cell r="I907">
            <v>1</v>
          </cell>
          <cell r="J907" t="str">
            <v>ТАК ПСБ "Ориёнбанк"</v>
          </cell>
          <cell r="K907">
            <v>1170000</v>
          </cell>
          <cell r="L907">
            <v>32500</v>
          </cell>
          <cell r="M907">
            <v>1</v>
          </cell>
          <cell r="N907">
            <v>1170000</v>
          </cell>
        </row>
        <row r="908">
          <cell r="A908">
            <v>2003</v>
          </cell>
          <cell r="B908">
            <v>5</v>
          </cell>
          <cell r="C908">
            <v>5</v>
          </cell>
          <cell r="D908">
            <v>231</v>
          </cell>
          <cell r="E908">
            <v>2</v>
          </cell>
          <cell r="F908" t="str">
            <v>TJS</v>
          </cell>
          <cell r="G908">
            <v>30</v>
          </cell>
          <cell r="H908">
            <v>5000</v>
          </cell>
          <cell r="I908">
            <v>1</v>
          </cell>
          <cell r="J908" t="str">
            <v>ТАК ПСБ "Ориёнбанк"</v>
          </cell>
          <cell r="K908">
            <v>150000</v>
          </cell>
          <cell r="L908">
            <v>5000</v>
          </cell>
          <cell r="M908">
            <v>1</v>
          </cell>
          <cell r="N908">
            <v>150000</v>
          </cell>
        </row>
        <row r="909">
          <cell r="A909">
            <v>2003</v>
          </cell>
          <cell r="B909">
            <v>5</v>
          </cell>
          <cell r="C909">
            <v>1</v>
          </cell>
          <cell r="D909">
            <v>182</v>
          </cell>
          <cell r="E909">
            <v>2</v>
          </cell>
          <cell r="F909" t="str">
            <v>USD</v>
          </cell>
          <cell r="G909">
            <v>24</v>
          </cell>
          <cell r="H909">
            <v>6180</v>
          </cell>
          <cell r="I909">
            <v>1</v>
          </cell>
          <cell r="J909" t="str">
            <v>ТАК ПСБ "Ориёнбанк"</v>
          </cell>
          <cell r="K909">
            <v>148320</v>
          </cell>
          <cell r="L909">
            <v>6281.644736842105</v>
          </cell>
          <cell r="M909">
            <v>1.0164473684210527</v>
          </cell>
          <cell r="N909">
            <v>150759.47368421053</v>
          </cell>
        </row>
        <row r="910">
          <cell r="A910">
            <v>2003</v>
          </cell>
          <cell r="B910">
            <v>5</v>
          </cell>
          <cell r="C910">
            <v>1</v>
          </cell>
          <cell r="D910">
            <v>140</v>
          </cell>
          <cell r="E910">
            <v>2</v>
          </cell>
          <cell r="F910" t="str">
            <v>USD</v>
          </cell>
          <cell r="G910">
            <v>20</v>
          </cell>
          <cell r="H910">
            <v>8343</v>
          </cell>
          <cell r="I910">
            <v>1</v>
          </cell>
          <cell r="J910" t="str">
            <v>ТАК ПСБ "Ориёнбанк"</v>
          </cell>
          <cell r="K910">
            <v>166860</v>
          </cell>
          <cell r="L910">
            <v>8480.220394736842</v>
          </cell>
          <cell r="M910">
            <v>1.0164473684210527</v>
          </cell>
          <cell r="N910">
            <v>169604.40789473685</v>
          </cell>
        </row>
        <row r="911">
          <cell r="A911">
            <v>2003</v>
          </cell>
          <cell r="B911">
            <v>5</v>
          </cell>
          <cell r="C911">
            <v>3</v>
          </cell>
          <cell r="D911">
            <v>120</v>
          </cell>
          <cell r="E911">
            <v>1</v>
          </cell>
          <cell r="F911" t="str">
            <v>TJS</v>
          </cell>
          <cell r="G911">
            <v>25</v>
          </cell>
          <cell r="H911">
            <v>1000</v>
          </cell>
          <cell r="I911">
            <v>1</v>
          </cell>
          <cell r="J911" t="str">
            <v>АКБ  СП "Сохибкорбанк"</v>
          </cell>
          <cell r="K911">
            <v>25000</v>
          </cell>
          <cell r="L911">
            <v>1000</v>
          </cell>
          <cell r="M911">
            <v>1</v>
          </cell>
          <cell r="N911">
            <v>25000</v>
          </cell>
        </row>
        <row r="912">
          <cell r="A912">
            <v>2003</v>
          </cell>
          <cell r="B912">
            <v>5</v>
          </cell>
          <cell r="C912">
            <v>1</v>
          </cell>
          <cell r="D912">
            <v>365</v>
          </cell>
          <cell r="E912">
            <v>2</v>
          </cell>
          <cell r="F912" t="str">
            <v>TJS</v>
          </cell>
          <cell r="G912">
            <v>22</v>
          </cell>
          <cell r="H912">
            <v>22400</v>
          </cell>
          <cell r="I912">
            <v>1</v>
          </cell>
          <cell r="J912" t="str">
            <v>АООТ "Ходжент"</v>
          </cell>
          <cell r="K912">
            <v>492800</v>
          </cell>
          <cell r="L912">
            <v>22400</v>
          </cell>
          <cell r="M912">
            <v>1</v>
          </cell>
          <cell r="N912">
            <v>492800</v>
          </cell>
        </row>
        <row r="913">
          <cell r="A913">
            <v>2003</v>
          </cell>
          <cell r="B913">
            <v>5</v>
          </cell>
          <cell r="C913">
            <v>1</v>
          </cell>
          <cell r="D913">
            <v>207</v>
          </cell>
          <cell r="E913">
            <v>1</v>
          </cell>
          <cell r="F913" t="str">
            <v>TJS</v>
          </cell>
          <cell r="G913">
            <v>24</v>
          </cell>
          <cell r="H913">
            <v>150000</v>
          </cell>
          <cell r="I913">
            <v>1</v>
          </cell>
          <cell r="J913" t="str">
            <v>АООТ "Ходжент"</v>
          </cell>
          <cell r="K913">
            <v>3600000</v>
          </cell>
          <cell r="L913">
            <v>150000</v>
          </cell>
          <cell r="M913">
            <v>1</v>
          </cell>
          <cell r="N913">
            <v>3600000</v>
          </cell>
        </row>
        <row r="914">
          <cell r="A914">
            <v>2003</v>
          </cell>
          <cell r="B914">
            <v>5</v>
          </cell>
          <cell r="C914">
            <v>1</v>
          </cell>
          <cell r="D914">
            <v>210</v>
          </cell>
          <cell r="E914">
            <v>2</v>
          </cell>
          <cell r="F914" t="str">
            <v>TJS</v>
          </cell>
          <cell r="G914">
            <v>36</v>
          </cell>
          <cell r="H914">
            <v>29232</v>
          </cell>
          <cell r="I914">
            <v>3</v>
          </cell>
          <cell r="J914" t="str">
            <v>КТОО "Дехкон"</v>
          </cell>
          <cell r="K914">
            <v>1052352</v>
          </cell>
          <cell r="L914">
            <v>29232</v>
          </cell>
          <cell r="M914">
            <v>1</v>
          </cell>
          <cell r="N914">
            <v>1052352</v>
          </cell>
        </row>
        <row r="915">
          <cell r="A915">
            <v>2003</v>
          </cell>
          <cell r="B915">
            <v>5</v>
          </cell>
          <cell r="C915">
            <v>1</v>
          </cell>
          <cell r="D915">
            <v>330</v>
          </cell>
          <cell r="E915">
            <v>1</v>
          </cell>
          <cell r="F915" t="str">
            <v>TJS</v>
          </cell>
          <cell r="G915">
            <v>25</v>
          </cell>
          <cell r="H915">
            <v>3000</v>
          </cell>
          <cell r="I915">
            <v>1</v>
          </cell>
          <cell r="J915" t="str">
            <v>АКБ "Ганчина"</v>
          </cell>
          <cell r="K915">
            <v>75000</v>
          </cell>
          <cell r="L915">
            <v>3000</v>
          </cell>
          <cell r="M915">
            <v>1</v>
          </cell>
          <cell r="N915">
            <v>75000</v>
          </cell>
        </row>
        <row r="916">
          <cell r="A916">
            <v>2003</v>
          </cell>
          <cell r="B916">
            <v>5</v>
          </cell>
          <cell r="C916">
            <v>1</v>
          </cell>
          <cell r="D916">
            <v>360</v>
          </cell>
          <cell r="E916">
            <v>2</v>
          </cell>
          <cell r="F916" t="str">
            <v>TJS</v>
          </cell>
          <cell r="G916">
            <v>14</v>
          </cell>
          <cell r="H916">
            <v>10000</v>
          </cell>
          <cell r="I916">
            <v>1</v>
          </cell>
          <cell r="J916" t="str">
            <v>ГСБ РТ "Амонатбонк"</v>
          </cell>
          <cell r="K916">
            <v>140000</v>
          </cell>
          <cell r="L916">
            <v>10000</v>
          </cell>
          <cell r="M916">
            <v>1</v>
          </cell>
          <cell r="N916">
            <v>140000</v>
          </cell>
        </row>
        <row r="917">
          <cell r="A917">
            <v>2003</v>
          </cell>
          <cell r="B917">
            <v>5</v>
          </cell>
          <cell r="C917">
            <v>1</v>
          </cell>
          <cell r="D917">
            <v>360</v>
          </cell>
          <cell r="E917">
            <v>2</v>
          </cell>
          <cell r="F917" t="str">
            <v>TJS</v>
          </cell>
          <cell r="G917">
            <v>36</v>
          </cell>
          <cell r="H917">
            <v>78300</v>
          </cell>
          <cell r="I917">
            <v>9</v>
          </cell>
          <cell r="J917" t="str">
            <v>ГСБ РТ "Амонатбонк"</v>
          </cell>
          <cell r="K917">
            <v>2818800</v>
          </cell>
          <cell r="L917">
            <v>78300</v>
          </cell>
          <cell r="M917">
            <v>1</v>
          </cell>
          <cell r="N917">
            <v>2818800</v>
          </cell>
        </row>
        <row r="918">
          <cell r="A918">
            <v>2003</v>
          </cell>
          <cell r="B918">
            <v>5</v>
          </cell>
          <cell r="C918">
            <v>1</v>
          </cell>
          <cell r="D918">
            <v>360</v>
          </cell>
          <cell r="E918">
            <v>1</v>
          </cell>
          <cell r="F918" t="str">
            <v>TJS</v>
          </cell>
          <cell r="G918">
            <v>36</v>
          </cell>
          <cell r="H918">
            <v>60000</v>
          </cell>
          <cell r="I918">
            <v>1</v>
          </cell>
          <cell r="J918" t="str">
            <v>ГСБ РТ "Амонатбонк"</v>
          </cell>
          <cell r="K918">
            <v>2160000</v>
          </cell>
          <cell r="L918">
            <v>60000</v>
          </cell>
          <cell r="M918">
            <v>1</v>
          </cell>
          <cell r="N918">
            <v>2160000</v>
          </cell>
        </row>
        <row r="919">
          <cell r="A919">
            <v>2003</v>
          </cell>
          <cell r="B919">
            <v>5</v>
          </cell>
          <cell r="C919">
            <v>1</v>
          </cell>
          <cell r="D919">
            <v>180</v>
          </cell>
          <cell r="E919">
            <v>2</v>
          </cell>
          <cell r="F919" t="str">
            <v>USD</v>
          </cell>
          <cell r="G919">
            <v>36</v>
          </cell>
          <cell r="H919">
            <v>618</v>
          </cell>
          <cell r="I919">
            <v>1</v>
          </cell>
          <cell r="J919" t="str">
            <v>КБ "Сомон-банк"</v>
          </cell>
          <cell r="K919">
            <v>22248</v>
          </cell>
          <cell r="L919">
            <v>628.1644736842105</v>
          </cell>
          <cell r="M919">
            <v>1.0164473684210527</v>
          </cell>
          <cell r="N919">
            <v>22613.92105263158</v>
          </cell>
        </row>
        <row r="920">
          <cell r="A920">
            <v>2003</v>
          </cell>
          <cell r="B920">
            <v>5</v>
          </cell>
          <cell r="C920">
            <v>1</v>
          </cell>
          <cell r="D920">
            <v>90</v>
          </cell>
          <cell r="E920">
            <v>1</v>
          </cell>
          <cell r="F920" t="str">
            <v>TJS</v>
          </cell>
          <cell r="G920">
            <v>24</v>
          </cell>
          <cell r="H920">
            <v>90000</v>
          </cell>
          <cell r="I920">
            <v>2</v>
          </cell>
          <cell r="J920" t="str">
            <v>КТОО "Финансирование и торговли"</v>
          </cell>
          <cell r="K920">
            <v>2160000</v>
          </cell>
          <cell r="L920">
            <v>90000</v>
          </cell>
          <cell r="M920">
            <v>1</v>
          </cell>
          <cell r="N920">
            <v>2160000</v>
          </cell>
        </row>
        <row r="921">
          <cell r="A921">
            <v>2003</v>
          </cell>
          <cell r="B921">
            <v>5</v>
          </cell>
          <cell r="C921">
            <v>1</v>
          </cell>
          <cell r="D921">
            <v>20</v>
          </cell>
          <cell r="E921">
            <v>1</v>
          </cell>
          <cell r="F921" t="str">
            <v>TJS</v>
          </cell>
          <cell r="G921">
            <v>12</v>
          </cell>
          <cell r="H921">
            <v>1249213</v>
          </cell>
          <cell r="I921">
            <v>2</v>
          </cell>
          <cell r="J921" t="str">
            <v>СЛТ АКБ "Ист-Кредитбанк"</v>
          </cell>
          <cell r="K921">
            <v>14990556</v>
          </cell>
          <cell r="L921">
            <v>1249213</v>
          </cell>
          <cell r="M921">
            <v>1</v>
          </cell>
          <cell r="N921">
            <v>14990556</v>
          </cell>
        </row>
        <row r="922">
          <cell r="A922">
            <v>2003</v>
          </cell>
          <cell r="B922">
            <v>5</v>
          </cell>
          <cell r="C922">
            <v>1</v>
          </cell>
          <cell r="D922">
            <v>90</v>
          </cell>
          <cell r="E922">
            <v>1</v>
          </cell>
          <cell r="F922" t="str">
            <v>TJS</v>
          </cell>
          <cell r="G922">
            <v>12</v>
          </cell>
          <cell r="H922">
            <v>3390000</v>
          </cell>
          <cell r="I922">
            <v>3</v>
          </cell>
          <cell r="J922" t="str">
            <v>СЛТ АКБ "Ист-Кредитбанк"</v>
          </cell>
          <cell r="K922">
            <v>40680000</v>
          </cell>
          <cell r="L922">
            <v>3390000</v>
          </cell>
          <cell r="M922">
            <v>1</v>
          </cell>
          <cell r="N922">
            <v>40680000</v>
          </cell>
        </row>
        <row r="923">
          <cell r="A923">
            <v>2003</v>
          </cell>
          <cell r="B923">
            <v>6</v>
          </cell>
          <cell r="C923">
            <v>2</v>
          </cell>
          <cell r="D923">
            <v>178</v>
          </cell>
          <cell r="E923">
            <v>1</v>
          </cell>
          <cell r="F923" t="str">
            <v>TJS</v>
          </cell>
          <cell r="G923">
            <v>12</v>
          </cell>
          <cell r="H923">
            <v>33000</v>
          </cell>
          <cell r="I923">
            <v>1</v>
          </cell>
          <cell r="J923" t="str">
            <v>АК АПИБ "Агроинвестбанк"</v>
          </cell>
          <cell r="K923">
            <v>396000</v>
          </cell>
          <cell r="L923">
            <v>33000</v>
          </cell>
          <cell r="M923">
            <v>1</v>
          </cell>
          <cell r="N923">
            <v>396000</v>
          </cell>
        </row>
        <row r="924">
          <cell r="A924">
            <v>2003</v>
          </cell>
          <cell r="B924">
            <v>6</v>
          </cell>
          <cell r="C924">
            <v>2</v>
          </cell>
          <cell r="D924">
            <v>195</v>
          </cell>
          <cell r="E924">
            <v>1</v>
          </cell>
          <cell r="F924" t="str">
            <v>TJS</v>
          </cell>
          <cell r="G924">
            <v>12</v>
          </cell>
          <cell r="H924">
            <v>103349</v>
          </cell>
          <cell r="I924">
            <v>1</v>
          </cell>
          <cell r="J924" t="str">
            <v>АК АПИБ "Агроинвестбанк"</v>
          </cell>
          <cell r="K924">
            <v>1240188</v>
          </cell>
          <cell r="L924">
            <v>103349</v>
          </cell>
          <cell r="M924">
            <v>1</v>
          </cell>
          <cell r="N924">
            <v>1240188</v>
          </cell>
        </row>
        <row r="925">
          <cell r="A925">
            <v>2003</v>
          </cell>
          <cell r="B925">
            <v>6</v>
          </cell>
          <cell r="C925">
            <v>2</v>
          </cell>
          <cell r="D925">
            <v>178</v>
          </cell>
          <cell r="E925">
            <v>1</v>
          </cell>
          <cell r="F925" t="str">
            <v>USD</v>
          </cell>
          <cell r="G925">
            <v>12</v>
          </cell>
          <cell r="H925">
            <v>690000</v>
          </cell>
          <cell r="I925">
            <v>2</v>
          </cell>
          <cell r="J925" t="str">
            <v>АК АПИБ "Агроинвестбанк"</v>
          </cell>
          <cell r="K925">
            <v>8280000</v>
          </cell>
          <cell r="L925">
            <v>701348.6842105263</v>
          </cell>
          <cell r="M925">
            <v>1.0164473684210527</v>
          </cell>
          <cell r="N925">
            <v>8416184.210526315</v>
          </cell>
        </row>
        <row r="926">
          <cell r="A926">
            <v>2003</v>
          </cell>
          <cell r="B926">
            <v>6</v>
          </cell>
          <cell r="C926">
            <v>2</v>
          </cell>
          <cell r="D926">
            <v>179</v>
          </cell>
          <cell r="E926">
            <v>1</v>
          </cell>
          <cell r="F926" t="str">
            <v>USD</v>
          </cell>
          <cell r="G926">
            <v>12</v>
          </cell>
          <cell r="H926">
            <v>300000</v>
          </cell>
          <cell r="I926">
            <v>1</v>
          </cell>
          <cell r="J926" t="str">
            <v>АК АПИБ "Агроинвестбанк"</v>
          </cell>
          <cell r="K926">
            <v>3600000</v>
          </cell>
          <cell r="L926">
            <v>304934.2105263158</v>
          </cell>
          <cell r="M926">
            <v>1.0164473684210527</v>
          </cell>
          <cell r="N926">
            <v>3659210.5263157897</v>
          </cell>
        </row>
        <row r="927">
          <cell r="A927">
            <v>2003</v>
          </cell>
          <cell r="B927">
            <v>6</v>
          </cell>
          <cell r="C927">
            <v>2</v>
          </cell>
          <cell r="D927">
            <v>183</v>
          </cell>
          <cell r="E927">
            <v>1</v>
          </cell>
          <cell r="F927" t="str">
            <v>USD</v>
          </cell>
          <cell r="G927">
            <v>12</v>
          </cell>
          <cell r="H927">
            <v>633000</v>
          </cell>
          <cell r="I927">
            <v>3</v>
          </cell>
          <cell r="J927" t="str">
            <v>АК АПИБ "Агроинвестбанк"</v>
          </cell>
          <cell r="K927">
            <v>7596000</v>
          </cell>
          <cell r="L927">
            <v>643411.1842105263</v>
          </cell>
          <cell r="M927">
            <v>1.0164473684210527</v>
          </cell>
          <cell r="N927">
            <v>7720934.210526316</v>
          </cell>
        </row>
        <row r="928">
          <cell r="A928">
            <v>2003</v>
          </cell>
          <cell r="B928">
            <v>6</v>
          </cell>
          <cell r="C928">
            <v>2</v>
          </cell>
          <cell r="D928">
            <v>188</v>
          </cell>
          <cell r="E928">
            <v>1</v>
          </cell>
          <cell r="F928" t="str">
            <v>USD</v>
          </cell>
          <cell r="G928">
            <v>12</v>
          </cell>
          <cell r="H928">
            <v>960000</v>
          </cell>
          <cell r="I928">
            <v>1</v>
          </cell>
          <cell r="J928" t="str">
            <v>АК АПИБ "Агроинвестбанк"</v>
          </cell>
          <cell r="K928">
            <v>11520000</v>
          </cell>
          <cell r="L928">
            <v>975789.4736842106</v>
          </cell>
          <cell r="M928">
            <v>1.0164473684210527</v>
          </cell>
          <cell r="N928">
            <v>11709473.684210526</v>
          </cell>
        </row>
        <row r="929">
          <cell r="A929">
            <v>2003</v>
          </cell>
          <cell r="B929">
            <v>6</v>
          </cell>
          <cell r="C929">
            <v>2</v>
          </cell>
          <cell r="D929">
            <v>189</v>
          </cell>
          <cell r="E929">
            <v>1</v>
          </cell>
          <cell r="F929" t="str">
            <v>USD</v>
          </cell>
          <cell r="G929">
            <v>12</v>
          </cell>
          <cell r="H929">
            <v>471837.09</v>
          </cell>
          <cell r="I929">
            <v>2</v>
          </cell>
          <cell r="J929" t="str">
            <v>АК АПИБ "Агроинвестбанк"</v>
          </cell>
          <cell r="K929">
            <v>5662045.08</v>
          </cell>
          <cell r="L929">
            <v>479597.56845394743</v>
          </cell>
          <cell r="M929">
            <v>1.0164473684210527</v>
          </cell>
          <cell r="N929">
            <v>5755170.821447369</v>
          </cell>
        </row>
        <row r="930">
          <cell r="A930">
            <v>2003</v>
          </cell>
          <cell r="B930">
            <v>6</v>
          </cell>
          <cell r="C930">
            <v>2</v>
          </cell>
          <cell r="D930">
            <v>190</v>
          </cell>
          <cell r="E930">
            <v>1</v>
          </cell>
          <cell r="F930" t="str">
            <v>USD</v>
          </cell>
          <cell r="G930">
            <v>12</v>
          </cell>
          <cell r="H930">
            <v>77250</v>
          </cell>
          <cell r="I930">
            <v>1</v>
          </cell>
          <cell r="J930" t="str">
            <v>АК АПИБ "Агроинвестбанк"</v>
          </cell>
          <cell r="K930">
            <v>927000</v>
          </cell>
          <cell r="L930">
            <v>78520.55921052632</v>
          </cell>
          <cell r="M930">
            <v>1.0164473684210527</v>
          </cell>
          <cell r="N930">
            <v>942246.7105263158</v>
          </cell>
        </row>
        <row r="931">
          <cell r="A931">
            <v>2003</v>
          </cell>
          <cell r="B931">
            <v>6</v>
          </cell>
          <cell r="C931">
            <v>2</v>
          </cell>
          <cell r="D931">
            <v>193</v>
          </cell>
          <cell r="E931">
            <v>1</v>
          </cell>
          <cell r="F931" t="str">
            <v>USD</v>
          </cell>
          <cell r="G931">
            <v>12</v>
          </cell>
          <cell r="H931">
            <v>73906.4</v>
          </cell>
          <cell r="I931">
            <v>2</v>
          </cell>
          <cell r="J931" t="str">
            <v>АК АПИБ "Агроинвестбанк"</v>
          </cell>
          <cell r="K931">
            <v>886876.8</v>
          </cell>
          <cell r="L931">
            <v>75121.96578947367</v>
          </cell>
          <cell r="M931">
            <v>1.0164473684210527</v>
          </cell>
          <cell r="N931">
            <v>901463.5894736843</v>
          </cell>
        </row>
        <row r="932">
          <cell r="A932">
            <v>2003</v>
          </cell>
          <cell r="B932">
            <v>6</v>
          </cell>
          <cell r="C932">
            <v>2</v>
          </cell>
          <cell r="D932">
            <v>194</v>
          </cell>
          <cell r="E932">
            <v>1</v>
          </cell>
          <cell r="F932" t="str">
            <v>USD</v>
          </cell>
          <cell r="G932">
            <v>12</v>
          </cell>
          <cell r="H932">
            <v>2424134.13</v>
          </cell>
          <cell r="I932">
            <v>5</v>
          </cell>
          <cell r="J932" t="str">
            <v>АК АПИБ "Агроинвестбанк"</v>
          </cell>
          <cell r="K932">
            <v>29089609.56</v>
          </cell>
          <cell r="L932">
            <v>2464004.7571381577</v>
          </cell>
          <cell r="M932">
            <v>1.0164473684210527</v>
          </cell>
          <cell r="N932">
            <v>29568057.085657895</v>
          </cell>
        </row>
        <row r="933">
          <cell r="A933">
            <v>2003</v>
          </cell>
          <cell r="B933">
            <v>6</v>
          </cell>
          <cell r="C933">
            <v>2</v>
          </cell>
          <cell r="D933">
            <v>196</v>
          </cell>
          <cell r="E933">
            <v>1</v>
          </cell>
          <cell r="F933" t="str">
            <v>USD</v>
          </cell>
          <cell r="G933">
            <v>12</v>
          </cell>
          <cell r="H933">
            <v>1652687</v>
          </cell>
          <cell r="I933">
            <v>3</v>
          </cell>
          <cell r="J933" t="str">
            <v>АК АПИБ "Агроинвестбанк"</v>
          </cell>
          <cell r="K933">
            <v>19832244</v>
          </cell>
          <cell r="L933">
            <v>1679869.3519736843</v>
          </cell>
          <cell r="M933">
            <v>1.0164473684210527</v>
          </cell>
          <cell r="N933">
            <v>20158432.22368421</v>
          </cell>
        </row>
        <row r="934">
          <cell r="A934">
            <v>2003</v>
          </cell>
          <cell r="B934">
            <v>6</v>
          </cell>
          <cell r="C934">
            <v>2</v>
          </cell>
          <cell r="D934">
            <v>197</v>
          </cell>
          <cell r="E934">
            <v>1</v>
          </cell>
          <cell r="F934" t="str">
            <v>USD</v>
          </cell>
          <cell r="G934">
            <v>12</v>
          </cell>
          <cell r="H934">
            <v>13271732.13</v>
          </cell>
          <cell r="I934">
            <v>7</v>
          </cell>
          <cell r="J934" t="str">
            <v>АК АПИБ "Агроинвестбанк"</v>
          </cell>
          <cell r="K934">
            <v>159260785.56</v>
          </cell>
          <cell r="L934">
            <v>13490017.197927633</v>
          </cell>
          <cell r="M934">
            <v>1.0164473684210527</v>
          </cell>
          <cell r="N934">
            <v>161880206.37513158</v>
          </cell>
        </row>
        <row r="935">
          <cell r="A935">
            <v>2003</v>
          </cell>
          <cell r="B935">
            <v>6</v>
          </cell>
          <cell r="C935">
            <v>2</v>
          </cell>
          <cell r="D935">
            <v>198</v>
          </cell>
          <cell r="E935">
            <v>1</v>
          </cell>
          <cell r="F935" t="str">
            <v>USD</v>
          </cell>
          <cell r="G935">
            <v>12</v>
          </cell>
          <cell r="H935">
            <v>5062572</v>
          </cell>
          <cell r="I935">
            <v>5</v>
          </cell>
          <cell r="J935" t="str">
            <v>АК АПИБ "Агроинвестбанк"</v>
          </cell>
          <cell r="K935">
            <v>60750864</v>
          </cell>
          <cell r="L935">
            <v>5145837.986842105</v>
          </cell>
          <cell r="M935">
            <v>1.0164473684210527</v>
          </cell>
          <cell r="N935">
            <v>61750055.84210526</v>
          </cell>
        </row>
        <row r="936">
          <cell r="A936">
            <v>2003</v>
          </cell>
          <cell r="B936">
            <v>6</v>
          </cell>
          <cell r="C936">
            <v>1</v>
          </cell>
          <cell r="D936">
            <v>90</v>
          </cell>
          <cell r="E936">
            <v>2</v>
          </cell>
          <cell r="F936" t="str">
            <v>USD</v>
          </cell>
          <cell r="G936">
            <v>30</v>
          </cell>
          <cell r="H936">
            <v>1545</v>
          </cell>
          <cell r="I936">
            <v>1</v>
          </cell>
          <cell r="J936" t="str">
            <v>АК АПИБ "Агроинвестбанк"</v>
          </cell>
          <cell r="K936">
            <v>46350</v>
          </cell>
          <cell r="L936">
            <v>1570.4111842105262</v>
          </cell>
          <cell r="M936">
            <v>1.0164473684210527</v>
          </cell>
          <cell r="N936">
            <v>47112.335526315794</v>
          </cell>
        </row>
        <row r="937">
          <cell r="A937">
            <v>2003</v>
          </cell>
          <cell r="B937">
            <v>6</v>
          </cell>
          <cell r="C937">
            <v>1</v>
          </cell>
          <cell r="D937">
            <v>98</v>
          </cell>
          <cell r="E937">
            <v>2</v>
          </cell>
          <cell r="F937" t="str">
            <v>USD</v>
          </cell>
          <cell r="G937">
            <v>48</v>
          </cell>
          <cell r="H937">
            <v>3090</v>
          </cell>
          <cell r="I937">
            <v>2</v>
          </cell>
          <cell r="J937" t="str">
            <v>АК АПИБ "Агроинвестбанк"</v>
          </cell>
          <cell r="K937">
            <v>148320</v>
          </cell>
          <cell r="L937">
            <v>3140.8223684210525</v>
          </cell>
          <cell r="M937">
            <v>1.0164473684210527</v>
          </cell>
          <cell r="N937">
            <v>150759.47368421053</v>
          </cell>
        </row>
        <row r="938">
          <cell r="A938">
            <v>2003</v>
          </cell>
          <cell r="B938">
            <v>6</v>
          </cell>
          <cell r="C938">
            <v>1</v>
          </cell>
          <cell r="D938">
            <v>160</v>
          </cell>
          <cell r="E938">
            <v>2</v>
          </cell>
          <cell r="F938" t="str">
            <v>USD</v>
          </cell>
          <cell r="G938">
            <v>30</v>
          </cell>
          <cell r="H938">
            <v>1545</v>
          </cell>
          <cell r="I938">
            <v>1</v>
          </cell>
          <cell r="J938" t="str">
            <v>АК АПИБ "Агроинвестбанк"</v>
          </cell>
          <cell r="K938">
            <v>46350</v>
          </cell>
          <cell r="L938">
            <v>1570.4111842105262</v>
          </cell>
          <cell r="M938">
            <v>1.0164473684210527</v>
          </cell>
          <cell r="N938">
            <v>47112.335526315794</v>
          </cell>
        </row>
        <row r="939">
          <cell r="A939">
            <v>2003</v>
          </cell>
          <cell r="B939">
            <v>6</v>
          </cell>
          <cell r="C939">
            <v>1</v>
          </cell>
          <cell r="D939">
            <v>168</v>
          </cell>
          <cell r="E939">
            <v>2</v>
          </cell>
          <cell r="F939" t="str">
            <v>USD</v>
          </cell>
          <cell r="G939">
            <v>30</v>
          </cell>
          <cell r="H939">
            <v>1545</v>
          </cell>
          <cell r="I939">
            <v>1</v>
          </cell>
          <cell r="J939" t="str">
            <v>АК АПИБ "Агроинвестбанк"</v>
          </cell>
          <cell r="K939">
            <v>46350</v>
          </cell>
          <cell r="L939">
            <v>1570.4111842105262</v>
          </cell>
          <cell r="M939">
            <v>1.0164473684210527</v>
          </cell>
          <cell r="N939">
            <v>47112.335526315794</v>
          </cell>
        </row>
        <row r="940">
          <cell r="A940">
            <v>2003</v>
          </cell>
          <cell r="B940">
            <v>6</v>
          </cell>
          <cell r="C940">
            <v>1</v>
          </cell>
          <cell r="D940">
            <v>175</v>
          </cell>
          <cell r="E940">
            <v>2</v>
          </cell>
          <cell r="F940" t="str">
            <v>USD</v>
          </cell>
          <cell r="G940">
            <v>20</v>
          </cell>
          <cell r="H940">
            <v>1545</v>
          </cell>
          <cell r="I940">
            <v>1</v>
          </cell>
          <cell r="J940" t="str">
            <v>АК АПИБ "Агроинвестбанк"</v>
          </cell>
          <cell r="K940">
            <v>30900</v>
          </cell>
          <cell r="L940">
            <v>1570.4111842105262</v>
          </cell>
          <cell r="M940">
            <v>1.0164473684210527</v>
          </cell>
          <cell r="N940">
            <v>31408.223684210527</v>
          </cell>
        </row>
        <row r="941">
          <cell r="A941">
            <v>2003</v>
          </cell>
          <cell r="B941">
            <v>6</v>
          </cell>
          <cell r="C941">
            <v>1</v>
          </cell>
          <cell r="D941">
            <v>175</v>
          </cell>
          <cell r="E941">
            <v>2</v>
          </cell>
          <cell r="F941" t="str">
            <v>USD</v>
          </cell>
          <cell r="G941">
            <v>30</v>
          </cell>
          <cell r="H941">
            <v>4635</v>
          </cell>
          <cell r="I941">
            <v>3</v>
          </cell>
          <cell r="J941" t="str">
            <v>АК АПИБ "Агроинвестбанк"</v>
          </cell>
          <cell r="K941">
            <v>139050</v>
          </cell>
          <cell r="L941">
            <v>4711.233552631579</v>
          </cell>
          <cell r="M941">
            <v>1.0164473684210527</v>
          </cell>
          <cell r="N941">
            <v>141337.00657894736</v>
          </cell>
        </row>
        <row r="942">
          <cell r="A942">
            <v>2003</v>
          </cell>
          <cell r="B942">
            <v>6</v>
          </cell>
          <cell r="C942">
            <v>1</v>
          </cell>
          <cell r="D942">
            <v>178</v>
          </cell>
          <cell r="E942">
            <v>2</v>
          </cell>
          <cell r="F942" t="str">
            <v>USD</v>
          </cell>
          <cell r="G942">
            <v>30</v>
          </cell>
          <cell r="H942">
            <v>3090</v>
          </cell>
          <cell r="I942">
            <v>2</v>
          </cell>
          <cell r="J942" t="str">
            <v>АК АПИБ "Агроинвестбанк"</v>
          </cell>
          <cell r="K942">
            <v>92700</v>
          </cell>
          <cell r="L942">
            <v>3140.8223684210525</v>
          </cell>
          <cell r="M942">
            <v>1.0164473684210527</v>
          </cell>
          <cell r="N942">
            <v>94224.67105263159</v>
          </cell>
        </row>
        <row r="943">
          <cell r="A943">
            <v>2003</v>
          </cell>
          <cell r="B943">
            <v>6</v>
          </cell>
          <cell r="C943">
            <v>1</v>
          </cell>
          <cell r="D943">
            <v>180</v>
          </cell>
          <cell r="E943">
            <v>2</v>
          </cell>
          <cell r="F943" t="str">
            <v>USD</v>
          </cell>
          <cell r="G943">
            <v>24</v>
          </cell>
          <cell r="H943">
            <v>4635</v>
          </cell>
          <cell r="I943">
            <v>3</v>
          </cell>
          <cell r="J943" t="str">
            <v>АК АПИБ "Агроинвестбанк"</v>
          </cell>
          <cell r="K943">
            <v>111240</v>
          </cell>
          <cell r="L943">
            <v>4711.233552631579</v>
          </cell>
          <cell r="M943">
            <v>1.0164473684210527</v>
          </cell>
          <cell r="N943">
            <v>113069.6052631579</v>
          </cell>
        </row>
        <row r="944">
          <cell r="A944">
            <v>2003</v>
          </cell>
          <cell r="B944">
            <v>6</v>
          </cell>
          <cell r="C944">
            <v>1</v>
          </cell>
          <cell r="D944">
            <v>180</v>
          </cell>
          <cell r="E944">
            <v>1</v>
          </cell>
          <cell r="F944" t="str">
            <v>USD</v>
          </cell>
          <cell r="G944">
            <v>18</v>
          </cell>
          <cell r="H944">
            <v>49440</v>
          </cell>
          <cell r="I944">
            <v>1</v>
          </cell>
          <cell r="J944" t="str">
            <v>АК АПИБ "Агроинвестбанк"</v>
          </cell>
          <cell r="K944">
            <v>889920</v>
          </cell>
          <cell r="L944">
            <v>50253.15789473684</v>
          </cell>
          <cell r="M944">
            <v>1.0164473684210527</v>
          </cell>
          <cell r="N944">
            <v>904556.8421052631</v>
          </cell>
        </row>
        <row r="945">
          <cell r="A945">
            <v>2003</v>
          </cell>
          <cell r="B945">
            <v>6</v>
          </cell>
          <cell r="C945">
            <v>1</v>
          </cell>
          <cell r="D945">
            <v>180</v>
          </cell>
          <cell r="E945">
            <v>2</v>
          </cell>
          <cell r="F945" t="str">
            <v>USD</v>
          </cell>
          <cell r="G945">
            <v>36</v>
          </cell>
          <cell r="H945">
            <v>10815</v>
          </cell>
          <cell r="I945">
            <v>7</v>
          </cell>
          <cell r="J945" t="str">
            <v>АК АПИБ "Агроинвестбанк"</v>
          </cell>
          <cell r="K945">
            <v>389340</v>
          </cell>
          <cell r="L945">
            <v>10992.878289473685</v>
          </cell>
          <cell r="M945">
            <v>1.0164473684210527</v>
          </cell>
          <cell r="N945">
            <v>395743.61842105264</v>
          </cell>
        </row>
        <row r="946">
          <cell r="A946">
            <v>2003</v>
          </cell>
          <cell r="B946">
            <v>6</v>
          </cell>
          <cell r="C946">
            <v>1</v>
          </cell>
          <cell r="D946">
            <v>185</v>
          </cell>
          <cell r="E946">
            <v>2</v>
          </cell>
          <cell r="F946" t="str">
            <v>USD</v>
          </cell>
          <cell r="G946">
            <v>30</v>
          </cell>
          <cell r="H946">
            <v>4635</v>
          </cell>
          <cell r="I946">
            <v>2</v>
          </cell>
          <cell r="J946" t="str">
            <v>АК АПИБ "Агроинвестбанк"</v>
          </cell>
          <cell r="K946">
            <v>139050</v>
          </cell>
          <cell r="L946">
            <v>4711.233552631579</v>
          </cell>
          <cell r="M946">
            <v>1.0164473684210527</v>
          </cell>
          <cell r="N946">
            <v>141337.00657894736</v>
          </cell>
        </row>
        <row r="947">
          <cell r="A947">
            <v>2003</v>
          </cell>
          <cell r="B947">
            <v>6</v>
          </cell>
          <cell r="C947">
            <v>1</v>
          </cell>
          <cell r="D947">
            <v>187</v>
          </cell>
          <cell r="E947">
            <v>2</v>
          </cell>
          <cell r="F947" t="str">
            <v>USD</v>
          </cell>
          <cell r="G947">
            <v>30</v>
          </cell>
          <cell r="H947">
            <v>3090</v>
          </cell>
          <cell r="I947">
            <v>1</v>
          </cell>
          <cell r="J947" t="str">
            <v>АК АПИБ "Агроинвестбанк"</v>
          </cell>
          <cell r="K947">
            <v>92700</v>
          </cell>
          <cell r="L947">
            <v>3140.8223684210525</v>
          </cell>
          <cell r="M947">
            <v>1.0164473684210527</v>
          </cell>
          <cell r="N947">
            <v>94224.67105263159</v>
          </cell>
        </row>
        <row r="948">
          <cell r="A948">
            <v>2003</v>
          </cell>
          <cell r="B948">
            <v>6</v>
          </cell>
          <cell r="C948">
            <v>1</v>
          </cell>
          <cell r="D948">
            <v>190</v>
          </cell>
          <cell r="E948">
            <v>2</v>
          </cell>
          <cell r="F948" t="str">
            <v>USD</v>
          </cell>
          <cell r="G948">
            <v>24</v>
          </cell>
          <cell r="H948">
            <v>6180</v>
          </cell>
          <cell r="I948">
            <v>4</v>
          </cell>
          <cell r="J948" t="str">
            <v>АК АПИБ "Агроинвестбанк"</v>
          </cell>
          <cell r="K948">
            <v>148320</v>
          </cell>
          <cell r="L948">
            <v>6281.644736842105</v>
          </cell>
          <cell r="M948">
            <v>1.0164473684210527</v>
          </cell>
          <cell r="N948">
            <v>150759.47368421053</v>
          </cell>
        </row>
        <row r="949">
          <cell r="A949">
            <v>2003</v>
          </cell>
          <cell r="B949">
            <v>6</v>
          </cell>
          <cell r="C949">
            <v>1</v>
          </cell>
          <cell r="D949">
            <v>190</v>
          </cell>
          <cell r="E949">
            <v>2</v>
          </cell>
          <cell r="F949" t="str">
            <v>USD</v>
          </cell>
          <cell r="G949">
            <v>30</v>
          </cell>
          <cell r="H949">
            <v>26265</v>
          </cell>
          <cell r="I949">
            <v>9</v>
          </cell>
          <cell r="J949" t="str">
            <v>АК АПИБ "Агроинвестбанк"</v>
          </cell>
          <cell r="K949">
            <v>787950</v>
          </cell>
          <cell r="L949">
            <v>26696.990131578947</v>
          </cell>
          <cell r="M949">
            <v>1.0164473684210527</v>
          </cell>
          <cell r="N949">
            <v>800909.7039473684</v>
          </cell>
        </row>
        <row r="950">
          <cell r="A950">
            <v>2003</v>
          </cell>
          <cell r="B950">
            <v>6</v>
          </cell>
          <cell r="C950">
            <v>1</v>
          </cell>
          <cell r="D950">
            <v>190</v>
          </cell>
          <cell r="E950">
            <v>2</v>
          </cell>
          <cell r="F950" t="str">
            <v>USD</v>
          </cell>
          <cell r="G950">
            <v>32</v>
          </cell>
          <cell r="H950">
            <v>1545</v>
          </cell>
          <cell r="I950">
            <v>1</v>
          </cell>
          <cell r="J950" t="str">
            <v>АК АПИБ "Агроинвестбанк"</v>
          </cell>
          <cell r="K950">
            <v>49440</v>
          </cell>
          <cell r="L950">
            <v>1570.4111842105262</v>
          </cell>
          <cell r="M950">
            <v>1.0164473684210527</v>
          </cell>
          <cell r="N950">
            <v>50253.15789473684</v>
          </cell>
        </row>
        <row r="951">
          <cell r="A951">
            <v>2003</v>
          </cell>
          <cell r="B951">
            <v>6</v>
          </cell>
          <cell r="C951">
            <v>1</v>
          </cell>
          <cell r="D951">
            <v>195</v>
          </cell>
          <cell r="E951">
            <v>2</v>
          </cell>
          <cell r="F951" t="str">
            <v>USD</v>
          </cell>
          <cell r="G951">
            <v>30</v>
          </cell>
          <cell r="H951">
            <v>3090</v>
          </cell>
          <cell r="I951">
            <v>1</v>
          </cell>
          <cell r="J951" t="str">
            <v>АК АПИБ "Агроинвестбанк"</v>
          </cell>
          <cell r="K951">
            <v>92700</v>
          </cell>
          <cell r="L951">
            <v>3140.8223684210525</v>
          </cell>
          <cell r="M951">
            <v>1.0164473684210527</v>
          </cell>
          <cell r="N951">
            <v>94224.67105263159</v>
          </cell>
        </row>
        <row r="952">
          <cell r="A952">
            <v>2003</v>
          </cell>
          <cell r="B952">
            <v>6</v>
          </cell>
          <cell r="C952">
            <v>1</v>
          </cell>
          <cell r="D952">
            <v>208</v>
          </cell>
          <cell r="E952">
            <v>2</v>
          </cell>
          <cell r="F952" t="str">
            <v>USD</v>
          </cell>
          <cell r="G952">
            <v>24</v>
          </cell>
          <cell r="H952">
            <v>18540</v>
          </cell>
          <cell r="I952">
            <v>12</v>
          </cell>
          <cell r="J952" t="str">
            <v>АК АПИБ "Агроинвестбанк"</v>
          </cell>
          <cell r="K952">
            <v>444960</v>
          </cell>
          <cell r="L952">
            <v>18844.934210526317</v>
          </cell>
          <cell r="M952">
            <v>1.0164473684210527</v>
          </cell>
          <cell r="N952">
            <v>452278.4210526316</v>
          </cell>
        </row>
        <row r="953">
          <cell r="A953">
            <v>2003</v>
          </cell>
          <cell r="B953">
            <v>6</v>
          </cell>
          <cell r="C953">
            <v>1</v>
          </cell>
          <cell r="D953">
            <v>240</v>
          </cell>
          <cell r="E953">
            <v>2</v>
          </cell>
          <cell r="F953" t="str">
            <v>USD</v>
          </cell>
          <cell r="G953">
            <v>25</v>
          </cell>
          <cell r="H953">
            <v>9270</v>
          </cell>
          <cell r="I953">
            <v>1</v>
          </cell>
          <cell r="J953" t="str">
            <v>АК АПИБ "Агроинвестбанк"</v>
          </cell>
          <cell r="K953">
            <v>231750</v>
          </cell>
          <cell r="L953">
            <v>9422.467105263158</v>
          </cell>
          <cell r="M953">
            <v>1.0164473684210527</v>
          </cell>
          <cell r="N953">
            <v>235561.67763157896</v>
          </cell>
        </row>
        <row r="954">
          <cell r="A954">
            <v>2003</v>
          </cell>
          <cell r="B954">
            <v>6</v>
          </cell>
          <cell r="C954">
            <v>1</v>
          </cell>
          <cell r="D954">
            <v>270</v>
          </cell>
          <cell r="E954">
            <v>1</v>
          </cell>
          <cell r="F954" t="str">
            <v>USD</v>
          </cell>
          <cell r="G954">
            <v>12</v>
          </cell>
          <cell r="H954">
            <v>33310.2</v>
          </cell>
          <cell r="I954">
            <v>1</v>
          </cell>
          <cell r="J954" t="str">
            <v>АК АПИБ "Агроинвестбанк"</v>
          </cell>
          <cell r="K954">
            <v>399722.4</v>
          </cell>
          <cell r="L954">
            <v>33858.065131578944</v>
          </cell>
          <cell r="M954">
            <v>1.0164473684210527</v>
          </cell>
          <cell r="N954">
            <v>406296.7815789474</v>
          </cell>
        </row>
        <row r="955">
          <cell r="A955">
            <v>2003</v>
          </cell>
          <cell r="B955">
            <v>6</v>
          </cell>
          <cell r="C955">
            <v>1</v>
          </cell>
          <cell r="D955">
            <v>335</v>
          </cell>
          <cell r="E955">
            <v>1</v>
          </cell>
          <cell r="F955" t="str">
            <v>USD</v>
          </cell>
          <cell r="G955">
            <v>25</v>
          </cell>
          <cell r="H955">
            <v>4017</v>
          </cell>
          <cell r="I955">
            <v>1</v>
          </cell>
          <cell r="J955" t="str">
            <v>АК АПИБ "Агроинвестбанк"</v>
          </cell>
          <cell r="K955">
            <v>100425</v>
          </cell>
          <cell r="L955">
            <v>4083.0690789473683</v>
          </cell>
          <cell r="M955">
            <v>1.0164473684210527</v>
          </cell>
          <cell r="N955">
            <v>102076.72697368421</v>
          </cell>
        </row>
        <row r="956">
          <cell r="A956">
            <v>2003</v>
          </cell>
          <cell r="B956">
            <v>6</v>
          </cell>
          <cell r="C956">
            <v>1</v>
          </cell>
          <cell r="D956">
            <v>350</v>
          </cell>
          <cell r="E956">
            <v>2</v>
          </cell>
          <cell r="F956" t="str">
            <v>USD</v>
          </cell>
          <cell r="G956">
            <v>40</v>
          </cell>
          <cell r="H956">
            <v>1545</v>
          </cell>
          <cell r="I956">
            <v>1</v>
          </cell>
          <cell r="J956" t="str">
            <v>АК АПИБ "Агроинвестбанк"</v>
          </cell>
          <cell r="K956">
            <v>61800</v>
          </cell>
          <cell r="L956">
            <v>1570.4111842105262</v>
          </cell>
          <cell r="M956">
            <v>1.0164473684210527</v>
          </cell>
          <cell r="N956">
            <v>62816.44736842105</v>
          </cell>
        </row>
        <row r="957">
          <cell r="A957">
            <v>2003</v>
          </cell>
          <cell r="B957">
            <v>6</v>
          </cell>
          <cell r="C957">
            <v>1</v>
          </cell>
          <cell r="D957">
            <v>360</v>
          </cell>
          <cell r="E957">
            <v>2</v>
          </cell>
          <cell r="F957" t="str">
            <v>USD</v>
          </cell>
          <cell r="G957">
            <v>40</v>
          </cell>
          <cell r="H957">
            <v>1545</v>
          </cell>
          <cell r="I957">
            <v>1</v>
          </cell>
          <cell r="J957" t="str">
            <v>АК АПИБ "Агроинвестбанк"</v>
          </cell>
          <cell r="K957">
            <v>61800</v>
          </cell>
          <cell r="L957">
            <v>1570.4111842105262</v>
          </cell>
          <cell r="M957">
            <v>1.0164473684210527</v>
          </cell>
          <cell r="N957">
            <v>62816.44736842105</v>
          </cell>
        </row>
        <row r="958">
          <cell r="A958">
            <v>2003</v>
          </cell>
          <cell r="B958">
            <v>6</v>
          </cell>
          <cell r="C958">
            <v>1</v>
          </cell>
          <cell r="D958">
            <v>365</v>
          </cell>
          <cell r="E958">
            <v>1</v>
          </cell>
          <cell r="F958" t="str">
            <v>USD</v>
          </cell>
          <cell r="G958">
            <v>24</v>
          </cell>
          <cell r="H958">
            <v>123600</v>
          </cell>
          <cell r="I958">
            <v>1</v>
          </cell>
          <cell r="J958" t="str">
            <v>АК АПИБ "Агроинвестбанк"</v>
          </cell>
          <cell r="K958">
            <v>2966400</v>
          </cell>
          <cell r="L958">
            <v>125632.8947368421</v>
          </cell>
          <cell r="M958">
            <v>1.0164473684210527</v>
          </cell>
          <cell r="N958">
            <v>3015189.473684211</v>
          </cell>
        </row>
        <row r="959">
          <cell r="A959">
            <v>2003</v>
          </cell>
          <cell r="B959">
            <v>6</v>
          </cell>
          <cell r="C959">
            <v>1</v>
          </cell>
          <cell r="D959">
            <v>365</v>
          </cell>
          <cell r="E959">
            <v>2</v>
          </cell>
          <cell r="F959" t="str">
            <v>USD</v>
          </cell>
          <cell r="G959">
            <v>24</v>
          </cell>
          <cell r="H959">
            <v>75705</v>
          </cell>
          <cell r="I959">
            <v>3</v>
          </cell>
          <cell r="J959" t="str">
            <v>АК АПИБ "Агроинвестбанк"</v>
          </cell>
          <cell r="K959">
            <v>1816920</v>
          </cell>
          <cell r="L959">
            <v>76950.14802631579</v>
          </cell>
          <cell r="M959">
            <v>1.0164473684210527</v>
          </cell>
          <cell r="N959">
            <v>1846803.5526315789</v>
          </cell>
        </row>
        <row r="960">
          <cell r="A960">
            <v>2003</v>
          </cell>
          <cell r="B960">
            <v>6</v>
          </cell>
          <cell r="C960">
            <v>1</v>
          </cell>
          <cell r="D960">
            <v>180</v>
          </cell>
          <cell r="E960">
            <v>1</v>
          </cell>
          <cell r="F960" t="str">
            <v>TJS</v>
          </cell>
          <cell r="G960">
            <v>25</v>
          </cell>
          <cell r="H960">
            <v>89987</v>
          </cell>
          <cell r="I960">
            <v>1</v>
          </cell>
          <cell r="J960" t="str">
            <v>АК АПИБ "Агроинвестбанк"</v>
          </cell>
          <cell r="K960">
            <v>2249675</v>
          </cell>
          <cell r="L960">
            <v>89987</v>
          </cell>
          <cell r="M960">
            <v>1</v>
          </cell>
          <cell r="N960">
            <v>2249675</v>
          </cell>
        </row>
        <row r="961">
          <cell r="A961">
            <v>2003</v>
          </cell>
          <cell r="B961">
            <v>6</v>
          </cell>
          <cell r="C961">
            <v>1</v>
          </cell>
          <cell r="D961">
            <v>165</v>
          </cell>
          <cell r="E961">
            <v>1</v>
          </cell>
          <cell r="F961" t="str">
            <v>TJS</v>
          </cell>
          <cell r="G961">
            <v>30</v>
          </cell>
          <cell r="H961">
            <v>3000</v>
          </cell>
          <cell r="I961">
            <v>1</v>
          </cell>
          <cell r="J961" t="str">
            <v>АК АПИБ "Агроинвестбанк"</v>
          </cell>
          <cell r="K961">
            <v>90000</v>
          </cell>
          <cell r="L961">
            <v>3000</v>
          </cell>
          <cell r="M961">
            <v>1</v>
          </cell>
          <cell r="N961">
            <v>90000</v>
          </cell>
        </row>
        <row r="962">
          <cell r="A962">
            <v>2003</v>
          </cell>
          <cell r="B962">
            <v>6</v>
          </cell>
          <cell r="C962">
            <v>1</v>
          </cell>
          <cell r="D962">
            <v>180</v>
          </cell>
          <cell r="E962">
            <v>1</v>
          </cell>
          <cell r="F962" t="str">
            <v>TJS</v>
          </cell>
          <cell r="G962">
            <v>30</v>
          </cell>
          <cell r="H962">
            <v>3000</v>
          </cell>
          <cell r="I962">
            <v>1</v>
          </cell>
          <cell r="J962" t="str">
            <v>АК АПИБ "Агроинвестбанк"</v>
          </cell>
          <cell r="K962">
            <v>90000</v>
          </cell>
          <cell r="L962">
            <v>3000</v>
          </cell>
          <cell r="M962">
            <v>1</v>
          </cell>
          <cell r="N962">
            <v>90000</v>
          </cell>
        </row>
        <row r="963">
          <cell r="A963">
            <v>2003</v>
          </cell>
          <cell r="B963">
            <v>6</v>
          </cell>
          <cell r="C963">
            <v>1</v>
          </cell>
          <cell r="D963">
            <v>181</v>
          </cell>
          <cell r="E963">
            <v>1</v>
          </cell>
          <cell r="F963" t="str">
            <v>TJS</v>
          </cell>
          <cell r="G963">
            <v>30</v>
          </cell>
          <cell r="H963">
            <v>3000</v>
          </cell>
          <cell r="I963">
            <v>1</v>
          </cell>
          <cell r="J963" t="str">
            <v>АК АПИБ "Агроинвестбанк"</v>
          </cell>
          <cell r="K963">
            <v>90000</v>
          </cell>
          <cell r="L963">
            <v>3000</v>
          </cell>
          <cell r="M963">
            <v>1</v>
          </cell>
          <cell r="N963">
            <v>90000</v>
          </cell>
        </row>
        <row r="964">
          <cell r="A964">
            <v>2003</v>
          </cell>
          <cell r="B964">
            <v>6</v>
          </cell>
          <cell r="C964">
            <v>1</v>
          </cell>
          <cell r="D964">
            <v>359</v>
          </cell>
          <cell r="E964">
            <v>1</v>
          </cell>
          <cell r="F964" t="str">
            <v>TJS</v>
          </cell>
          <cell r="G964">
            <v>30</v>
          </cell>
          <cell r="H964">
            <v>15000</v>
          </cell>
          <cell r="I964">
            <v>1</v>
          </cell>
          <cell r="J964" t="str">
            <v>АК АПИБ "Агроинвестбанк"</v>
          </cell>
          <cell r="K964">
            <v>450000</v>
          </cell>
          <cell r="L964">
            <v>15000</v>
          </cell>
          <cell r="M964">
            <v>1</v>
          </cell>
          <cell r="N964">
            <v>450000</v>
          </cell>
        </row>
        <row r="965">
          <cell r="A965">
            <v>2003</v>
          </cell>
          <cell r="B965">
            <v>6</v>
          </cell>
          <cell r="C965">
            <v>1</v>
          </cell>
          <cell r="D965">
            <v>364</v>
          </cell>
          <cell r="E965">
            <v>1</v>
          </cell>
          <cell r="F965" t="str">
            <v>TJS</v>
          </cell>
          <cell r="G965">
            <v>30</v>
          </cell>
          <cell r="H965">
            <v>200000</v>
          </cell>
          <cell r="I965">
            <v>1</v>
          </cell>
          <cell r="J965" t="str">
            <v>АК АПИБ "Агроинвестбанк"</v>
          </cell>
          <cell r="K965">
            <v>6000000</v>
          </cell>
          <cell r="L965">
            <v>200000</v>
          </cell>
          <cell r="M965">
            <v>1</v>
          </cell>
          <cell r="N965">
            <v>6000000</v>
          </cell>
        </row>
        <row r="966">
          <cell r="A966">
            <v>2003</v>
          </cell>
          <cell r="B966">
            <v>6</v>
          </cell>
          <cell r="C966">
            <v>1</v>
          </cell>
          <cell r="D966">
            <v>87</v>
          </cell>
          <cell r="E966">
            <v>1</v>
          </cell>
          <cell r="F966" t="str">
            <v>TJS</v>
          </cell>
          <cell r="G966">
            <v>48</v>
          </cell>
          <cell r="H966">
            <v>3000</v>
          </cell>
          <cell r="I966">
            <v>1</v>
          </cell>
          <cell r="J966" t="str">
            <v>АК АПИБ "Агроинвестбанк"</v>
          </cell>
          <cell r="K966">
            <v>144000</v>
          </cell>
          <cell r="L966">
            <v>3000</v>
          </cell>
          <cell r="M966">
            <v>1</v>
          </cell>
          <cell r="N966">
            <v>144000</v>
          </cell>
        </row>
        <row r="967">
          <cell r="A967">
            <v>2003</v>
          </cell>
          <cell r="B967">
            <v>6</v>
          </cell>
          <cell r="C967">
            <v>1</v>
          </cell>
          <cell r="D967">
            <v>100</v>
          </cell>
          <cell r="E967">
            <v>1</v>
          </cell>
          <cell r="F967" t="str">
            <v>TJS</v>
          </cell>
          <cell r="G967">
            <v>48</v>
          </cell>
          <cell r="H967">
            <v>3000</v>
          </cell>
          <cell r="I967">
            <v>1</v>
          </cell>
          <cell r="J967" t="str">
            <v>АК АПИБ "Агроинвестбанк"</v>
          </cell>
          <cell r="K967">
            <v>144000</v>
          </cell>
          <cell r="L967">
            <v>3000</v>
          </cell>
          <cell r="M967">
            <v>1</v>
          </cell>
          <cell r="N967">
            <v>144000</v>
          </cell>
        </row>
        <row r="968">
          <cell r="A968">
            <v>2003</v>
          </cell>
          <cell r="B968">
            <v>6</v>
          </cell>
          <cell r="C968">
            <v>1</v>
          </cell>
          <cell r="D968">
            <v>191</v>
          </cell>
          <cell r="E968">
            <v>1</v>
          </cell>
          <cell r="F968" t="str">
            <v>TJS</v>
          </cell>
          <cell r="G968">
            <v>48</v>
          </cell>
          <cell r="H968">
            <v>6000</v>
          </cell>
          <cell r="I968">
            <v>1</v>
          </cell>
          <cell r="J968" t="str">
            <v>АК АПИБ "Агроинвестбанк"</v>
          </cell>
          <cell r="K968">
            <v>288000</v>
          </cell>
          <cell r="L968">
            <v>6000</v>
          </cell>
          <cell r="M968">
            <v>1</v>
          </cell>
          <cell r="N968">
            <v>288000</v>
          </cell>
        </row>
        <row r="969">
          <cell r="A969">
            <v>2003</v>
          </cell>
          <cell r="B969">
            <v>6</v>
          </cell>
          <cell r="C969">
            <v>1</v>
          </cell>
          <cell r="D969">
            <v>192</v>
          </cell>
          <cell r="E969">
            <v>1</v>
          </cell>
          <cell r="F969" t="str">
            <v>TJS</v>
          </cell>
          <cell r="G969">
            <v>48</v>
          </cell>
          <cell r="H969">
            <v>10000</v>
          </cell>
          <cell r="I969">
            <v>1</v>
          </cell>
          <cell r="J969" t="str">
            <v>АК АПИБ "Агроинвестбанк"</v>
          </cell>
          <cell r="K969">
            <v>480000</v>
          </cell>
          <cell r="L969">
            <v>10000</v>
          </cell>
          <cell r="M969">
            <v>1</v>
          </cell>
          <cell r="N969">
            <v>480000</v>
          </cell>
        </row>
        <row r="970">
          <cell r="A970">
            <v>2003</v>
          </cell>
          <cell r="B970">
            <v>6</v>
          </cell>
          <cell r="C970">
            <v>1</v>
          </cell>
          <cell r="D970">
            <v>194</v>
          </cell>
          <cell r="E970">
            <v>1</v>
          </cell>
          <cell r="F970" t="str">
            <v>TJS</v>
          </cell>
          <cell r="G970">
            <v>48</v>
          </cell>
          <cell r="H970">
            <v>10000</v>
          </cell>
          <cell r="I970">
            <v>1</v>
          </cell>
          <cell r="J970" t="str">
            <v>АК АПИБ "Агроинвестбанк"</v>
          </cell>
          <cell r="K970">
            <v>480000</v>
          </cell>
          <cell r="L970">
            <v>10000</v>
          </cell>
          <cell r="M970">
            <v>1</v>
          </cell>
          <cell r="N970">
            <v>480000</v>
          </cell>
        </row>
        <row r="971">
          <cell r="A971">
            <v>2003</v>
          </cell>
          <cell r="B971">
            <v>6</v>
          </cell>
          <cell r="C971">
            <v>1</v>
          </cell>
          <cell r="D971">
            <v>195</v>
          </cell>
          <cell r="E971">
            <v>1</v>
          </cell>
          <cell r="F971" t="str">
            <v>TJS</v>
          </cell>
          <cell r="G971">
            <v>48</v>
          </cell>
          <cell r="H971">
            <v>9000</v>
          </cell>
          <cell r="I971">
            <v>1</v>
          </cell>
          <cell r="J971" t="str">
            <v>АК АПИБ "Агроинвестбанк"</v>
          </cell>
          <cell r="K971">
            <v>432000</v>
          </cell>
          <cell r="L971">
            <v>9000</v>
          </cell>
          <cell r="M971">
            <v>1</v>
          </cell>
          <cell r="N971">
            <v>432000</v>
          </cell>
        </row>
        <row r="972">
          <cell r="A972">
            <v>2003</v>
          </cell>
          <cell r="B972">
            <v>6</v>
          </cell>
          <cell r="C972">
            <v>1</v>
          </cell>
          <cell r="D972">
            <v>122</v>
          </cell>
          <cell r="E972">
            <v>1</v>
          </cell>
          <cell r="F972" t="str">
            <v>TJS</v>
          </cell>
          <cell r="G972">
            <v>54</v>
          </cell>
          <cell r="H972">
            <v>3000</v>
          </cell>
          <cell r="I972">
            <v>1</v>
          </cell>
          <cell r="J972" t="str">
            <v>АК АПИБ "Агроинвестбанк"</v>
          </cell>
          <cell r="K972">
            <v>162000</v>
          </cell>
          <cell r="L972">
            <v>3000</v>
          </cell>
          <cell r="M972">
            <v>1</v>
          </cell>
          <cell r="N972">
            <v>162000</v>
          </cell>
        </row>
        <row r="973">
          <cell r="A973">
            <v>2003</v>
          </cell>
          <cell r="B973">
            <v>6</v>
          </cell>
          <cell r="C973">
            <v>1</v>
          </cell>
          <cell r="D973">
            <v>195</v>
          </cell>
          <cell r="E973">
            <v>1</v>
          </cell>
          <cell r="F973" t="str">
            <v>TJS</v>
          </cell>
          <cell r="G973">
            <v>60</v>
          </cell>
          <cell r="H973">
            <v>3000</v>
          </cell>
          <cell r="I973">
            <v>1</v>
          </cell>
          <cell r="J973" t="str">
            <v>АК АПИБ "Агроинвестбанк"</v>
          </cell>
          <cell r="K973">
            <v>180000</v>
          </cell>
          <cell r="L973">
            <v>3000</v>
          </cell>
          <cell r="M973">
            <v>1</v>
          </cell>
          <cell r="N973">
            <v>180000</v>
          </cell>
        </row>
        <row r="974">
          <cell r="A974">
            <v>2003</v>
          </cell>
          <cell r="B974">
            <v>6</v>
          </cell>
          <cell r="C974">
            <v>1</v>
          </cell>
          <cell r="D974">
            <v>180</v>
          </cell>
          <cell r="E974">
            <v>2</v>
          </cell>
          <cell r="F974" t="str">
            <v>TJS</v>
          </cell>
          <cell r="G974">
            <v>25</v>
          </cell>
          <cell r="H974">
            <v>3000</v>
          </cell>
          <cell r="I974">
            <v>1</v>
          </cell>
          <cell r="J974" t="str">
            <v>АК АПИБ "Агроинвестбанк"</v>
          </cell>
          <cell r="K974">
            <v>75000</v>
          </cell>
          <cell r="L974">
            <v>3000</v>
          </cell>
          <cell r="M974">
            <v>1</v>
          </cell>
          <cell r="N974">
            <v>75000</v>
          </cell>
        </row>
        <row r="975">
          <cell r="A975">
            <v>2003</v>
          </cell>
          <cell r="B975">
            <v>6</v>
          </cell>
          <cell r="C975">
            <v>1</v>
          </cell>
          <cell r="D975">
            <v>122</v>
          </cell>
          <cell r="E975">
            <v>2</v>
          </cell>
          <cell r="F975" t="str">
            <v>TJS</v>
          </cell>
          <cell r="G975">
            <v>30</v>
          </cell>
          <cell r="H975">
            <v>3000</v>
          </cell>
          <cell r="I975">
            <v>1</v>
          </cell>
          <cell r="J975" t="str">
            <v>АК АПИБ "Агроинвестбанк"</v>
          </cell>
          <cell r="K975">
            <v>90000</v>
          </cell>
          <cell r="L975">
            <v>3000</v>
          </cell>
          <cell r="M975">
            <v>1</v>
          </cell>
          <cell r="N975">
            <v>90000</v>
          </cell>
        </row>
        <row r="976">
          <cell r="A976">
            <v>2003</v>
          </cell>
          <cell r="B976">
            <v>6</v>
          </cell>
          <cell r="C976">
            <v>1</v>
          </cell>
          <cell r="D976">
            <v>177</v>
          </cell>
          <cell r="E976">
            <v>2</v>
          </cell>
          <cell r="F976" t="str">
            <v>TJS</v>
          </cell>
          <cell r="G976">
            <v>30</v>
          </cell>
          <cell r="H976">
            <v>7800</v>
          </cell>
          <cell r="I976">
            <v>3</v>
          </cell>
          <cell r="J976" t="str">
            <v>АК АПИБ "Агроинвестбанк"</v>
          </cell>
          <cell r="K976">
            <v>234000</v>
          </cell>
          <cell r="L976">
            <v>7800</v>
          </cell>
          <cell r="M976">
            <v>1</v>
          </cell>
          <cell r="N976">
            <v>234000</v>
          </cell>
        </row>
        <row r="977">
          <cell r="A977">
            <v>2003</v>
          </cell>
          <cell r="B977">
            <v>6</v>
          </cell>
          <cell r="C977">
            <v>1</v>
          </cell>
          <cell r="D977">
            <v>179</v>
          </cell>
          <cell r="E977">
            <v>2</v>
          </cell>
          <cell r="F977" t="str">
            <v>TJS</v>
          </cell>
          <cell r="G977">
            <v>30</v>
          </cell>
          <cell r="H977">
            <v>8000</v>
          </cell>
          <cell r="I977">
            <v>3</v>
          </cell>
          <cell r="J977" t="str">
            <v>АК АПИБ "Агроинвестбанк"</v>
          </cell>
          <cell r="K977">
            <v>240000</v>
          </cell>
          <cell r="L977">
            <v>8000</v>
          </cell>
          <cell r="M977">
            <v>1</v>
          </cell>
          <cell r="N977">
            <v>240000</v>
          </cell>
        </row>
        <row r="978">
          <cell r="A978">
            <v>2003</v>
          </cell>
          <cell r="B978">
            <v>6</v>
          </cell>
          <cell r="C978">
            <v>1</v>
          </cell>
          <cell r="D978">
            <v>180</v>
          </cell>
          <cell r="E978">
            <v>2</v>
          </cell>
          <cell r="F978" t="str">
            <v>TJS</v>
          </cell>
          <cell r="G978">
            <v>30</v>
          </cell>
          <cell r="H978">
            <v>9000</v>
          </cell>
          <cell r="I978">
            <v>3</v>
          </cell>
          <cell r="J978" t="str">
            <v>АК АПИБ "Агроинвестбанк"</v>
          </cell>
          <cell r="K978">
            <v>270000</v>
          </cell>
          <cell r="L978">
            <v>9000</v>
          </cell>
          <cell r="M978">
            <v>1</v>
          </cell>
          <cell r="N978">
            <v>270000</v>
          </cell>
        </row>
        <row r="979">
          <cell r="A979">
            <v>2003</v>
          </cell>
          <cell r="B979">
            <v>6</v>
          </cell>
          <cell r="C979">
            <v>1</v>
          </cell>
          <cell r="D979">
            <v>190</v>
          </cell>
          <cell r="E979">
            <v>2</v>
          </cell>
          <cell r="F979" t="str">
            <v>TJS</v>
          </cell>
          <cell r="G979">
            <v>30</v>
          </cell>
          <cell r="H979">
            <v>3000</v>
          </cell>
          <cell r="I979">
            <v>1</v>
          </cell>
          <cell r="J979" t="str">
            <v>АК АПИБ "Агроинвестбанк"</v>
          </cell>
          <cell r="K979">
            <v>90000</v>
          </cell>
          <cell r="L979">
            <v>3000</v>
          </cell>
          <cell r="M979">
            <v>1</v>
          </cell>
          <cell r="N979">
            <v>90000</v>
          </cell>
        </row>
        <row r="980">
          <cell r="A980">
            <v>2003</v>
          </cell>
          <cell r="B980">
            <v>6</v>
          </cell>
          <cell r="C980">
            <v>1</v>
          </cell>
          <cell r="D980">
            <v>280</v>
          </cell>
          <cell r="E980">
            <v>2</v>
          </cell>
          <cell r="F980" t="str">
            <v>TJS</v>
          </cell>
          <cell r="G980">
            <v>30</v>
          </cell>
          <cell r="H980">
            <v>1300</v>
          </cell>
          <cell r="I980">
            <v>1</v>
          </cell>
          <cell r="J980" t="str">
            <v>АК АПИБ "Агроинвестбанк"</v>
          </cell>
          <cell r="K980">
            <v>39000</v>
          </cell>
          <cell r="L980">
            <v>1300</v>
          </cell>
          <cell r="M980">
            <v>1</v>
          </cell>
          <cell r="N980">
            <v>39000</v>
          </cell>
        </row>
        <row r="981">
          <cell r="A981">
            <v>2003</v>
          </cell>
          <cell r="B981">
            <v>6</v>
          </cell>
          <cell r="C981">
            <v>1</v>
          </cell>
          <cell r="D981">
            <v>366</v>
          </cell>
          <cell r="E981">
            <v>2</v>
          </cell>
          <cell r="F981" t="str">
            <v>TJS</v>
          </cell>
          <cell r="G981">
            <v>30</v>
          </cell>
          <cell r="H981">
            <v>3000</v>
          </cell>
          <cell r="I981">
            <v>1</v>
          </cell>
          <cell r="J981" t="str">
            <v>АК АПИБ "Агроинвестбанк"</v>
          </cell>
          <cell r="K981">
            <v>90000</v>
          </cell>
          <cell r="L981">
            <v>3000</v>
          </cell>
          <cell r="M981">
            <v>1</v>
          </cell>
          <cell r="N981">
            <v>90000</v>
          </cell>
        </row>
        <row r="982">
          <cell r="A982">
            <v>2003</v>
          </cell>
          <cell r="B982">
            <v>6</v>
          </cell>
          <cell r="C982">
            <v>1</v>
          </cell>
          <cell r="D982">
            <v>157</v>
          </cell>
          <cell r="E982">
            <v>2</v>
          </cell>
          <cell r="F982" t="str">
            <v>TJS</v>
          </cell>
          <cell r="G982">
            <v>33</v>
          </cell>
          <cell r="H982">
            <v>3000</v>
          </cell>
          <cell r="I982">
            <v>1</v>
          </cell>
          <cell r="J982" t="str">
            <v>АК АПИБ "Агроинвестбанк"</v>
          </cell>
          <cell r="K982">
            <v>99000</v>
          </cell>
          <cell r="L982">
            <v>3000</v>
          </cell>
          <cell r="M982">
            <v>1</v>
          </cell>
          <cell r="N982">
            <v>99000</v>
          </cell>
        </row>
        <row r="983">
          <cell r="A983">
            <v>2003</v>
          </cell>
          <cell r="B983">
            <v>6</v>
          </cell>
          <cell r="C983">
            <v>1</v>
          </cell>
          <cell r="D983">
            <v>160</v>
          </cell>
          <cell r="E983">
            <v>2</v>
          </cell>
          <cell r="F983" t="str">
            <v>TJS</v>
          </cell>
          <cell r="G983">
            <v>33</v>
          </cell>
          <cell r="H983">
            <v>2300</v>
          </cell>
          <cell r="I983">
            <v>2</v>
          </cell>
          <cell r="J983" t="str">
            <v>АК АПИБ "Агроинвестбанк"</v>
          </cell>
          <cell r="K983">
            <v>75900</v>
          </cell>
          <cell r="L983">
            <v>2300</v>
          </cell>
          <cell r="M983">
            <v>1</v>
          </cell>
          <cell r="N983">
            <v>75900</v>
          </cell>
        </row>
        <row r="984">
          <cell r="A984">
            <v>2003</v>
          </cell>
          <cell r="B984">
            <v>6</v>
          </cell>
          <cell r="C984">
            <v>1</v>
          </cell>
          <cell r="D984">
            <v>170</v>
          </cell>
          <cell r="E984">
            <v>2</v>
          </cell>
          <cell r="F984" t="str">
            <v>TJS</v>
          </cell>
          <cell r="G984">
            <v>33</v>
          </cell>
          <cell r="H984">
            <v>4000</v>
          </cell>
          <cell r="I984">
            <v>2</v>
          </cell>
          <cell r="J984" t="str">
            <v>АК АПИБ "Агроинвестбанк"</v>
          </cell>
          <cell r="K984">
            <v>132000</v>
          </cell>
          <cell r="L984">
            <v>4000</v>
          </cell>
          <cell r="M984">
            <v>1</v>
          </cell>
          <cell r="N984">
            <v>132000</v>
          </cell>
        </row>
        <row r="985">
          <cell r="A985">
            <v>2003</v>
          </cell>
          <cell r="B985">
            <v>6</v>
          </cell>
          <cell r="C985">
            <v>1</v>
          </cell>
          <cell r="D985">
            <v>180</v>
          </cell>
          <cell r="E985">
            <v>2</v>
          </cell>
          <cell r="F985" t="str">
            <v>TJS</v>
          </cell>
          <cell r="G985">
            <v>33</v>
          </cell>
          <cell r="H985">
            <v>3000</v>
          </cell>
          <cell r="I985">
            <v>1</v>
          </cell>
          <cell r="J985" t="str">
            <v>АК АПИБ "Агроинвестбанк"</v>
          </cell>
          <cell r="K985">
            <v>99000</v>
          </cell>
          <cell r="L985">
            <v>3000</v>
          </cell>
          <cell r="M985">
            <v>1</v>
          </cell>
          <cell r="N985">
            <v>99000</v>
          </cell>
        </row>
        <row r="986">
          <cell r="A986">
            <v>2003</v>
          </cell>
          <cell r="B986">
            <v>6</v>
          </cell>
          <cell r="C986">
            <v>1</v>
          </cell>
          <cell r="D986">
            <v>203</v>
          </cell>
          <cell r="E986">
            <v>2</v>
          </cell>
          <cell r="F986" t="str">
            <v>TJS</v>
          </cell>
          <cell r="G986">
            <v>35</v>
          </cell>
          <cell r="H986">
            <v>2300</v>
          </cell>
          <cell r="I986">
            <v>1</v>
          </cell>
          <cell r="J986" t="str">
            <v>АК АПИБ "Агроинвестбанк"</v>
          </cell>
          <cell r="K986">
            <v>80500</v>
          </cell>
          <cell r="L986">
            <v>2300</v>
          </cell>
          <cell r="M986">
            <v>1</v>
          </cell>
          <cell r="N986">
            <v>80500</v>
          </cell>
        </row>
        <row r="987">
          <cell r="A987">
            <v>2003</v>
          </cell>
          <cell r="B987">
            <v>6</v>
          </cell>
          <cell r="C987">
            <v>1</v>
          </cell>
          <cell r="D987">
            <v>183</v>
          </cell>
          <cell r="E987">
            <v>2</v>
          </cell>
          <cell r="F987" t="str">
            <v>TJS</v>
          </cell>
          <cell r="G987">
            <v>36</v>
          </cell>
          <cell r="H987">
            <v>10000</v>
          </cell>
          <cell r="I987">
            <v>4</v>
          </cell>
          <cell r="J987" t="str">
            <v>АК АПИБ "Агроинвестбанк"</v>
          </cell>
          <cell r="K987">
            <v>360000</v>
          </cell>
          <cell r="L987">
            <v>10000</v>
          </cell>
          <cell r="M987">
            <v>1</v>
          </cell>
          <cell r="N987">
            <v>360000</v>
          </cell>
        </row>
        <row r="988">
          <cell r="A988">
            <v>2003</v>
          </cell>
          <cell r="B988">
            <v>6</v>
          </cell>
          <cell r="C988">
            <v>1</v>
          </cell>
          <cell r="D988">
            <v>61</v>
          </cell>
          <cell r="E988">
            <v>2</v>
          </cell>
          <cell r="F988" t="str">
            <v>TJS</v>
          </cell>
          <cell r="G988">
            <v>48</v>
          </cell>
          <cell r="H988">
            <v>9000</v>
          </cell>
          <cell r="I988">
            <v>3</v>
          </cell>
          <cell r="J988" t="str">
            <v>АК АПИБ "Агроинвестбанк"</v>
          </cell>
          <cell r="K988">
            <v>432000</v>
          </cell>
          <cell r="L988">
            <v>9000</v>
          </cell>
          <cell r="M988">
            <v>1</v>
          </cell>
          <cell r="N988">
            <v>432000</v>
          </cell>
        </row>
        <row r="989">
          <cell r="A989">
            <v>2003</v>
          </cell>
          <cell r="B989">
            <v>6</v>
          </cell>
          <cell r="C989">
            <v>1</v>
          </cell>
          <cell r="D989">
            <v>88</v>
          </cell>
          <cell r="E989">
            <v>2</v>
          </cell>
          <cell r="F989" t="str">
            <v>TJS</v>
          </cell>
          <cell r="G989">
            <v>60</v>
          </cell>
          <cell r="H989">
            <v>500</v>
          </cell>
          <cell r="I989">
            <v>1</v>
          </cell>
          <cell r="J989" t="str">
            <v>АК АПИБ "Агроинвестбанк"</v>
          </cell>
          <cell r="K989">
            <v>30000</v>
          </cell>
          <cell r="L989">
            <v>500</v>
          </cell>
          <cell r="M989">
            <v>1</v>
          </cell>
          <cell r="N989">
            <v>30000</v>
          </cell>
        </row>
        <row r="990">
          <cell r="A990">
            <v>2003</v>
          </cell>
          <cell r="B990">
            <v>6</v>
          </cell>
          <cell r="C990">
            <v>1</v>
          </cell>
          <cell r="D990">
            <v>196</v>
          </cell>
          <cell r="E990">
            <v>2</v>
          </cell>
          <cell r="F990" t="str">
            <v>TJS</v>
          </cell>
          <cell r="G990">
            <v>60</v>
          </cell>
          <cell r="H990">
            <v>7000</v>
          </cell>
          <cell r="I990">
            <v>3</v>
          </cell>
          <cell r="J990" t="str">
            <v>АК АПИБ "Агроинвестбанк"</v>
          </cell>
          <cell r="K990">
            <v>420000</v>
          </cell>
          <cell r="L990">
            <v>7000</v>
          </cell>
          <cell r="M990">
            <v>1</v>
          </cell>
          <cell r="N990">
            <v>420000</v>
          </cell>
        </row>
        <row r="991">
          <cell r="A991">
            <v>2003</v>
          </cell>
          <cell r="B991">
            <v>6</v>
          </cell>
          <cell r="C991">
            <v>1</v>
          </cell>
          <cell r="D991">
            <v>208</v>
          </cell>
          <cell r="E991">
            <v>2</v>
          </cell>
          <cell r="F991" t="str">
            <v>TJS</v>
          </cell>
          <cell r="G991">
            <v>60</v>
          </cell>
          <cell r="H991">
            <v>5500</v>
          </cell>
          <cell r="I991">
            <v>2</v>
          </cell>
          <cell r="J991" t="str">
            <v>АК АПИБ "Агроинвестбанк"</v>
          </cell>
          <cell r="K991">
            <v>330000</v>
          </cell>
          <cell r="L991">
            <v>5500</v>
          </cell>
          <cell r="M991">
            <v>1</v>
          </cell>
          <cell r="N991">
            <v>330000</v>
          </cell>
        </row>
        <row r="992">
          <cell r="A992">
            <v>2003</v>
          </cell>
          <cell r="B992">
            <v>6</v>
          </cell>
          <cell r="C992">
            <v>1</v>
          </cell>
          <cell r="D992">
            <v>210</v>
          </cell>
          <cell r="E992">
            <v>2</v>
          </cell>
          <cell r="F992" t="str">
            <v>TJS</v>
          </cell>
          <cell r="G992">
            <v>60</v>
          </cell>
          <cell r="H992">
            <v>5000</v>
          </cell>
          <cell r="I992">
            <v>2</v>
          </cell>
          <cell r="J992" t="str">
            <v>АК АПИБ "Агроинвестбанк"</v>
          </cell>
          <cell r="K992">
            <v>300000</v>
          </cell>
          <cell r="L992">
            <v>5000</v>
          </cell>
          <cell r="M992">
            <v>1</v>
          </cell>
          <cell r="N992">
            <v>300000</v>
          </cell>
        </row>
        <row r="993">
          <cell r="A993">
            <v>2003</v>
          </cell>
          <cell r="B993">
            <v>6</v>
          </cell>
          <cell r="C993">
            <v>1</v>
          </cell>
          <cell r="D993">
            <v>212</v>
          </cell>
          <cell r="E993">
            <v>2</v>
          </cell>
          <cell r="F993" t="str">
            <v>TJS</v>
          </cell>
          <cell r="G993">
            <v>60</v>
          </cell>
          <cell r="H993">
            <v>9000</v>
          </cell>
          <cell r="I993">
            <v>3</v>
          </cell>
          <cell r="J993" t="str">
            <v>АК АПИБ "Агроинвестбанк"</v>
          </cell>
          <cell r="K993">
            <v>540000</v>
          </cell>
          <cell r="L993">
            <v>9000</v>
          </cell>
          <cell r="M993">
            <v>1</v>
          </cell>
          <cell r="N993">
            <v>540000</v>
          </cell>
        </row>
        <row r="994">
          <cell r="A994">
            <v>2003</v>
          </cell>
          <cell r="B994">
            <v>6</v>
          </cell>
          <cell r="C994">
            <v>3</v>
          </cell>
          <cell r="D994">
            <v>92</v>
          </cell>
          <cell r="E994">
            <v>2</v>
          </cell>
          <cell r="F994" t="str">
            <v>TJS</v>
          </cell>
          <cell r="G994">
            <v>36</v>
          </cell>
          <cell r="H994">
            <v>1000</v>
          </cell>
          <cell r="I994">
            <v>1</v>
          </cell>
          <cell r="J994" t="str">
            <v>АК АПИБ "Агроинвестбанк"</v>
          </cell>
          <cell r="K994">
            <v>36000</v>
          </cell>
          <cell r="L994">
            <v>1000</v>
          </cell>
          <cell r="M994">
            <v>1</v>
          </cell>
          <cell r="N994">
            <v>36000</v>
          </cell>
        </row>
        <row r="995">
          <cell r="A995">
            <v>2003</v>
          </cell>
          <cell r="B995">
            <v>6</v>
          </cell>
          <cell r="C995">
            <v>3</v>
          </cell>
          <cell r="D995">
            <v>360</v>
          </cell>
          <cell r="E995">
            <v>1</v>
          </cell>
          <cell r="F995" t="str">
            <v>TJS</v>
          </cell>
          <cell r="G995">
            <v>20</v>
          </cell>
          <cell r="H995">
            <v>304500</v>
          </cell>
          <cell r="I995">
            <v>1</v>
          </cell>
          <cell r="J995" t="str">
            <v>АКБ "Эсхата"</v>
          </cell>
          <cell r="K995">
            <v>6090000</v>
          </cell>
          <cell r="L995">
            <v>304500</v>
          </cell>
          <cell r="M995">
            <v>1</v>
          </cell>
          <cell r="N995">
            <v>6090000</v>
          </cell>
        </row>
        <row r="996">
          <cell r="A996">
            <v>2003</v>
          </cell>
          <cell r="B996">
            <v>6</v>
          </cell>
          <cell r="C996">
            <v>3</v>
          </cell>
          <cell r="D996">
            <v>300</v>
          </cell>
          <cell r="E996">
            <v>1</v>
          </cell>
          <cell r="F996" t="str">
            <v>TJS</v>
          </cell>
          <cell r="G996">
            <v>36</v>
          </cell>
          <cell r="H996">
            <v>18000</v>
          </cell>
          <cell r="I996">
            <v>1</v>
          </cell>
          <cell r="J996" t="str">
            <v>АКБ "Эсхата"</v>
          </cell>
          <cell r="K996">
            <v>648000</v>
          </cell>
          <cell r="L996">
            <v>18000</v>
          </cell>
          <cell r="M996">
            <v>1</v>
          </cell>
          <cell r="N996">
            <v>648000</v>
          </cell>
        </row>
        <row r="997">
          <cell r="A997">
            <v>2003</v>
          </cell>
          <cell r="B997">
            <v>6</v>
          </cell>
          <cell r="C997">
            <v>1</v>
          </cell>
          <cell r="D997">
            <v>90</v>
          </cell>
          <cell r="E997">
            <v>2</v>
          </cell>
          <cell r="F997" t="str">
            <v>TJS</v>
          </cell>
          <cell r="G997">
            <v>40</v>
          </cell>
          <cell r="H997">
            <v>5500</v>
          </cell>
          <cell r="I997">
            <v>1</v>
          </cell>
          <cell r="J997" t="str">
            <v>АКБ "Эсхата"</v>
          </cell>
          <cell r="K997">
            <v>220000</v>
          </cell>
          <cell r="L997">
            <v>5500</v>
          </cell>
          <cell r="M997">
            <v>1</v>
          </cell>
          <cell r="N997">
            <v>220000</v>
          </cell>
        </row>
        <row r="998">
          <cell r="A998">
            <v>2003</v>
          </cell>
          <cell r="B998">
            <v>6</v>
          </cell>
          <cell r="C998">
            <v>1</v>
          </cell>
          <cell r="D998">
            <v>270</v>
          </cell>
          <cell r="E998">
            <v>2</v>
          </cell>
          <cell r="F998" t="str">
            <v>USD</v>
          </cell>
          <cell r="G998">
            <v>30</v>
          </cell>
          <cell r="H998">
            <v>3090</v>
          </cell>
          <cell r="I998">
            <v>1</v>
          </cell>
          <cell r="J998" t="str">
            <v>АКБ "Эсхата"</v>
          </cell>
          <cell r="K998">
            <v>92700</v>
          </cell>
          <cell r="L998">
            <v>3140.8223684210525</v>
          </cell>
          <cell r="M998">
            <v>1.0164473684210527</v>
          </cell>
          <cell r="N998">
            <v>94224.67105263159</v>
          </cell>
        </row>
        <row r="999">
          <cell r="A999">
            <v>2003</v>
          </cell>
          <cell r="B999">
            <v>6</v>
          </cell>
          <cell r="C999">
            <v>1</v>
          </cell>
          <cell r="D999">
            <v>90</v>
          </cell>
          <cell r="E999">
            <v>2</v>
          </cell>
          <cell r="F999" t="str">
            <v>USD</v>
          </cell>
          <cell r="G999">
            <v>30</v>
          </cell>
          <cell r="H999">
            <v>93009</v>
          </cell>
          <cell r="I999">
            <v>7</v>
          </cell>
          <cell r="J999" t="str">
            <v>АКБ "Эсхата"</v>
          </cell>
          <cell r="K999">
            <v>2790270</v>
          </cell>
          <cell r="L999">
            <v>94538.75328947368</v>
          </cell>
          <cell r="M999">
            <v>1.0164473684210527</v>
          </cell>
          <cell r="N999">
            <v>2836162.598684211</v>
          </cell>
        </row>
        <row r="1000">
          <cell r="A1000">
            <v>2003</v>
          </cell>
          <cell r="B1000">
            <v>6</v>
          </cell>
          <cell r="C1000">
            <v>1</v>
          </cell>
          <cell r="D1000">
            <v>180</v>
          </cell>
          <cell r="E1000">
            <v>1</v>
          </cell>
          <cell r="F1000" t="str">
            <v>USD</v>
          </cell>
          <cell r="G1000">
            <v>28</v>
          </cell>
          <cell r="H1000">
            <v>46350</v>
          </cell>
          <cell r="I1000">
            <v>1</v>
          </cell>
          <cell r="J1000" t="str">
            <v>АКБ "Эсхата"</v>
          </cell>
          <cell r="K1000">
            <v>1297800</v>
          </cell>
          <cell r="L1000">
            <v>47112.335526315794</v>
          </cell>
          <cell r="M1000">
            <v>1.0164473684210527</v>
          </cell>
          <cell r="N1000">
            <v>1319145.394736842</v>
          </cell>
        </row>
        <row r="1001">
          <cell r="A1001">
            <v>2003</v>
          </cell>
          <cell r="B1001">
            <v>6</v>
          </cell>
          <cell r="C1001">
            <v>1</v>
          </cell>
          <cell r="D1001">
            <v>90</v>
          </cell>
          <cell r="E1001">
            <v>2</v>
          </cell>
          <cell r="F1001" t="str">
            <v>USD</v>
          </cell>
          <cell r="G1001">
            <v>24</v>
          </cell>
          <cell r="H1001">
            <v>12360</v>
          </cell>
          <cell r="I1001">
            <v>1</v>
          </cell>
          <cell r="J1001" t="str">
            <v>АКБ "Эсхата"</v>
          </cell>
          <cell r="K1001">
            <v>296640</v>
          </cell>
          <cell r="L1001">
            <v>12563.28947368421</v>
          </cell>
          <cell r="M1001">
            <v>1.0164473684210527</v>
          </cell>
          <cell r="N1001">
            <v>301518.94736842107</v>
          </cell>
        </row>
        <row r="1002">
          <cell r="A1002">
            <v>2003</v>
          </cell>
          <cell r="B1002">
            <v>6</v>
          </cell>
          <cell r="C1002">
            <v>1</v>
          </cell>
          <cell r="D1002">
            <v>90</v>
          </cell>
          <cell r="E1002">
            <v>2</v>
          </cell>
          <cell r="F1002" t="str">
            <v>USD</v>
          </cell>
          <cell r="G1002">
            <v>36</v>
          </cell>
          <cell r="H1002">
            <v>27810</v>
          </cell>
          <cell r="I1002">
            <v>2</v>
          </cell>
          <cell r="J1002" t="str">
            <v>АКБ "Эсхата"</v>
          </cell>
          <cell r="K1002">
            <v>1001160</v>
          </cell>
          <cell r="L1002">
            <v>28267.401315789473</v>
          </cell>
          <cell r="M1002">
            <v>1.0164473684210527</v>
          </cell>
          <cell r="N1002">
            <v>1017626.4473684211</v>
          </cell>
        </row>
        <row r="1003">
          <cell r="A1003">
            <v>2003</v>
          </cell>
          <cell r="B1003">
            <v>6</v>
          </cell>
          <cell r="C1003">
            <v>1</v>
          </cell>
          <cell r="D1003">
            <v>180</v>
          </cell>
          <cell r="E1003">
            <v>2</v>
          </cell>
          <cell r="F1003" t="str">
            <v>USD</v>
          </cell>
          <cell r="G1003">
            <v>28</v>
          </cell>
          <cell r="H1003">
            <v>30900</v>
          </cell>
          <cell r="I1003">
            <v>1</v>
          </cell>
          <cell r="J1003" t="str">
            <v>АКБ "Эсхата"</v>
          </cell>
          <cell r="K1003">
            <v>865200</v>
          </cell>
          <cell r="L1003">
            <v>31408.223684210527</v>
          </cell>
          <cell r="M1003">
            <v>1.0164473684210527</v>
          </cell>
          <cell r="N1003">
            <v>879430.2631578947</v>
          </cell>
        </row>
        <row r="1004">
          <cell r="A1004">
            <v>2003</v>
          </cell>
          <cell r="B1004">
            <v>6</v>
          </cell>
          <cell r="C1004">
            <v>1</v>
          </cell>
          <cell r="D1004">
            <v>180</v>
          </cell>
          <cell r="E1004">
            <v>2</v>
          </cell>
          <cell r="F1004" t="str">
            <v>USD</v>
          </cell>
          <cell r="G1004">
            <v>24</v>
          </cell>
          <cell r="H1004">
            <v>55620</v>
          </cell>
          <cell r="I1004">
            <v>1</v>
          </cell>
          <cell r="J1004" t="str">
            <v>АОЗТ"Кафолат"</v>
          </cell>
          <cell r="K1004">
            <v>1334880</v>
          </cell>
          <cell r="L1004">
            <v>56534.80263157895</v>
          </cell>
          <cell r="M1004">
            <v>1.0164473684210527</v>
          </cell>
          <cell r="N1004">
            <v>1356835.2631578948</v>
          </cell>
        </row>
        <row r="1005">
          <cell r="A1005">
            <v>2003</v>
          </cell>
          <cell r="B1005">
            <v>6</v>
          </cell>
          <cell r="C1005">
            <v>1</v>
          </cell>
          <cell r="D1005">
            <v>90</v>
          </cell>
          <cell r="E1005">
            <v>2</v>
          </cell>
          <cell r="F1005" t="str">
            <v>USD</v>
          </cell>
          <cell r="G1005">
            <v>36</v>
          </cell>
          <cell r="H1005">
            <v>618</v>
          </cell>
          <cell r="I1005">
            <v>1</v>
          </cell>
          <cell r="J1005" t="str">
            <v>АОЗТ"Кафолат"</v>
          </cell>
          <cell r="K1005">
            <v>22248</v>
          </cell>
          <cell r="L1005">
            <v>628.1644736842105</v>
          </cell>
          <cell r="M1005">
            <v>1.0164473684210527</v>
          </cell>
          <cell r="N1005">
            <v>22613.92105263158</v>
          </cell>
        </row>
        <row r="1006">
          <cell r="A1006">
            <v>2003</v>
          </cell>
          <cell r="B1006">
            <v>6</v>
          </cell>
          <cell r="C1006">
            <v>1</v>
          </cell>
          <cell r="D1006">
            <v>120</v>
          </cell>
          <cell r="E1006">
            <v>2</v>
          </cell>
          <cell r="F1006" t="str">
            <v>USD</v>
          </cell>
          <cell r="G1006">
            <v>60</v>
          </cell>
          <cell r="H1006">
            <v>154.5</v>
          </cell>
          <cell r="I1006">
            <v>1</v>
          </cell>
          <cell r="J1006" t="str">
            <v>АОЗТ"Кафолат"</v>
          </cell>
          <cell r="K1006">
            <v>9270</v>
          </cell>
          <cell r="L1006">
            <v>157.04111842105263</v>
          </cell>
          <cell r="M1006">
            <v>1.0164473684210527</v>
          </cell>
          <cell r="N1006">
            <v>9422.467105263158</v>
          </cell>
        </row>
        <row r="1007">
          <cell r="A1007">
            <v>2003</v>
          </cell>
          <cell r="B1007">
            <v>6</v>
          </cell>
          <cell r="C1007">
            <v>1</v>
          </cell>
          <cell r="D1007">
            <v>180</v>
          </cell>
          <cell r="E1007">
            <v>2</v>
          </cell>
          <cell r="F1007" t="str">
            <v>USD</v>
          </cell>
          <cell r="G1007">
            <v>48</v>
          </cell>
          <cell r="H1007">
            <v>5253</v>
          </cell>
          <cell r="I1007">
            <v>1</v>
          </cell>
          <cell r="J1007" t="str">
            <v>АОЗТ"Кафолат"</v>
          </cell>
          <cell r="K1007">
            <v>252144</v>
          </cell>
          <cell r="L1007">
            <v>5339.39802631579</v>
          </cell>
          <cell r="M1007">
            <v>1.0164473684210527</v>
          </cell>
          <cell r="N1007">
            <v>256291.1052631579</v>
          </cell>
        </row>
        <row r="1008">
          <cell r="A1008">
            <v>2003</v>
          </cell>
          <cell r="B1008">
            <v>6</v>
          </cell>
          <cell r="C1008">
            <v>1</v>
          </cell>
          <cell r="D1008">
            <v>360</v>
          </cell>
          <cell r="E1008">
            <v>2</v>
          </cell>
          <cell r="F1008" t="str">
            <v>USD</v>
          </cell>
          <cell r="G1008">
            <v>30</v>
          </cell>
          <cell r="H1008">
            <v>62572.5</v>
          </cell>
          <cell r="I1008">
            <v>2</v>
          </cell>
          <cell r="J1008" t="str">
            <v>АОЗТ"Кафолат"</v>
          </cell>
          <cell r="K1008">
            <v>1877175</v>
          </cell>
          <cell r="L1008">
            <v>63601.65296052632</v>
          </cell>
          <cell r="M1008">
            <v>1.0164473684210527</v>
          </cell>
          <cell r="N1008">
            <v>1908049.5888157894</v>
          </cell>
        </row>
        <row r="1009">
          <cell r="A1009">
            <v>2003</v>
          </cell>
          <cell r="B1009">
            <v>6</v>
          </cell>
          <cell r="C1009">
            <v>1</v>
          </cell>
          <cell r="D1009">
            <v>150</v>
          </cell>
          <cell r="E1009">
            <v>2</v>
          </cell>
          <cell r="F1009" t="str">
            <v>USD</v>
          </cell>
          <cell r="G1009">
            <v>36</v>
          </cell>
          <cell r="H1009">
            <v>4635</v>
          </cell>
          <cell r="I1009">
            <v>1</v>
          </cell>
          <cell r="J1009" t="str">
            <v>АОЗТ"Кафолат"</v>
          </cell>
          <cell r="K1009">
            <v>166860</v>
          </cell>
          <cell r="L1009">
            <v>4711.233552631579</v>
          </cell>
          <cell r="M1009">
            <v>1.0164473684210527</v>
          </cell>
          <cell r="N1009">
            <v>169604.40789473685</v>
          </cell>
        </row>
        <row r="1010">
          <cell r="A1010">
            <v>2003</v>
          </cell>
          <cell r="B1010">
            <v>6</v>
          </cell>
          <cell r="C1010">
            <v>1</v>
          </cell>
          <cell r="D1010">
            <v>360</v>
          </cell>
          <cell r="E1010">
            <v>2</v>
          </cell>
          <cell r="F1010" t="str">
            <v>USD</v>
          </cell>
          <cell r="G1010">
            <v>36</v>
          </cell>
          <cell r="H1010">
            <v>77250</v>
          </cell>
          <cell r="I1010">
            <v>1</v>
          </cell>
          <cell r="J1010" t="str">
            <v>АОЗТ"Кафолат"</v>
          </cell>
          <cell r="K1010">
            <v>2781000</v>
          </cell>
          <cell r="L1010">
            <v>78520.55921052632</v>
          </cell>
          <cell r="M1010">
            <v>1.0164473684210527</v>
          </cell>
          <cell r="N1010">
            <v>2826740.1315789474</v>
          </cell>
        </row>
        <row r="1011">
          <cell r="A1011">
            <v>2003</v>
          </cell>
          <cell r="B1011">
            <v>6</v>
          </cell>
          <cell r="C1011">
            <v>1</v>
          </cell>
          <cell r="D1011">
            <v>90</v>
          </cell>
          <cell r="E1011">
            <v>2</v>
          </cell>
          <cell r="F1011" t="str">
            <v>USD</v>
          </cell>
          <cell r="G1011">
            <v>20</v>
          </cell>
          <cell r="H1011">
            <v>2163</v>
          </cell>
          <cell r="I1011">
            <v>1</v>
          </cell>
          <cell r="J1011" t="str">
            <v>АОЗТ"Кафолат"</v>
          </cell>
          <cell r="K1011">
            <v>43260</v>
          </cell>
          <cell r="L1011">
            <v>2198.575657894737</v>
          </cell>
          <cell r="M1011">
            <v>1.0164473684210527</v>
          </cell>
          <cell r="N1011">
            <v>43971.51315789474</v>
          </cell>
        </row>
        <row r="1012">
          <cell r="A1012">
            <v>2003</v>
          </cell>
          <cell r="B1012">
            <v>6</v>
          </cell>
          <cell r="C1012">
            <v>1</v>
          </cell>
          <cell r="D1012">
            <v>150</v>
          </cell>
          <cell r="E1012">
            <v>2</v>
          </cell>
          <cell r="F1012" t="str">
            <v>USD</v>
          </cell>
          <cell r="G1012">
            <v>30</v>
          </cell>
          <cell r="H1012">
            <v>618</v>
          </cell>
          <cell r="I1012">
            <v>1</v>
          </cell>
          <cell r="J1012" t="str">
            <v>АОЗТ"Кафолат"</v>
          </cell>
          <cell r="K1012">
            <v>18540</v>
          </cell>
          <cell r="L1012">
            <v>628.1644736842105</v>
          </cell>
          <cell r="M1012">
            <v>1.0164473684210527</v>
          </cell>
          <cell r="N1012">
            <v>18844.934210526317</v>
          </cell>
        </row>
        <row r="1013">
          <cell r="A1013">
            <v>2003</v>
          </cell>
          <cell r="B1013">
            <v>6</v>
          </cell>
          <cell r="C1013">
            <v>1</v>
          </cell>
          <cell r="D1013">
            <v>150</v>
          </cell>
          <cell r="E1013">
            <v>2</v>
          </cell>
          <cell r="F1013" t="str">
            <v>USD</v>
          </cell>
          <cell r="G1013">
            <v>15</v>
          </cell>
          <cell r="H1013">
            <v>38007</v>
          </cell>
          <cell r="I1013">
            <v>1</v>
          </cell>
          <cell r="J1013" t="str">
            <v>АОЗТ"Кафолат"</v>
          </cell>
          <cell r="K1013">
            <v>570105</v>
          </cell>
          <cell r="L1013">
            <v>38632.11513157895</v>
          </cell>
          <cell r="M1013">
            <v>1.0164473684210527</v>
          </cell>
          <cell r="N1013">
            <v>579481.7269736843</v>
          </cell>
        </row>
        <row r="1014">
          <cell r="A1014">
            <v>2003</v>
          </cell>
          <cell r="B1014">
            <v>6</v>
          </cell>
          <cell r="C1014">
            <v>1</v>
          </cell>
          <cell r="D1014">
            <v>180</v>
          </cell>
          <cell r="E1014">
            <v>2</v>
          </cell>
          <cell r="F1014" t="str">
            <v>USD</v>
          </cell>
          <cell r="G1014">
            <v>40</v>
          </cell>
          <cell r="H1014">
            <v>2781</v>
          </cell>
          <cell r="I1014">
            <v>2</v>
          </cell>
          <cell r="J1014" t="str">
            <v>АОЗТ"Кафолат"</v>
          </cell>
          <cell r="K1014">
            <v>111240</v>
          </cell>
          <cell r="L1014">
            <v>2826.7401315789475</v>
          </cell>
          <cell r="M1014">
            <v>1.0164473684210527</v>
          </cell>
          <cell r="N1014">
            <v>113069.6052631579</v>
          </cell>
        </row>
        <row r="1015">
          <cell r="A1015">
            <v>2003</v>
          </cell>
          <cell r="B1015">
            <v>6</v>
          </cell>
          <cell r="C1015">
            <v>1</v>
          </cell>
          <cell r="D1015">
            <v>270</v>
          </cell>
          <cell r="E1015">
            <v>2</v>
          </cell>
          <cell r="F1015" t="str">
            <v>USD</v>
          </cell>
          <cell r="G1015">
            <v>36</v>
          </cell>
          <cell r="H1015">
            <v>15450</v>
          </cell>
          <cell r="I1015">
            <v>1</v>
          </cell>
          <cell r="J1015" t="str">
            <v>АОЗТ"Кафолат"</v>
          </cell>
          <cell r="K1015">
            <v>556200</v>
          </cell>
          <cell r="L1015">
            <v>15704.111842105263</v>
          </cell>
          <cell r="M1015">
            <v>1.0164473684210527</v>
          </cell>
          <cell r="N1015">
            <v>565348.0263157894</v>
          </cell>
        </row>
        <row r="1016">
          <cell r="A1016">
            <v>2003</v>
          </cell>
          <cell r="B1016">
            <v>6</v>
          </cell>
          <cell r="C1016">
            <v>1</v>
          </cell>
          <cell r="D1016">
            <v>330</v>
          </cell>
          <cell r="E1016">
            <v>2</v>
          </cell>
          <cell r="F1016" t="str">
            <v>USD</v>
          </cell>
          <cell r="G1016">
            <v>36</v>
          </cell>
          <cell r="H1016">
            <v>30900</v>
          </cell>
          <cell r="I1016">
            <v>1</v>
          </cell>
          <cell r="J1016" t="str">
            <v>АОЗТ"Кафолат"</v>
          </cell>
          <cell r="K1016">
            <v>1112400</v>
          </cell>
          <cell r="L1016">
            <v>31408.223684210527</v>
          </cell>
          <cell r="M1016">
            <v>1.0164473684210527</v>
          </cell>
          <cell r="N1016">
            <v>1130696.0526315789</v>
          </cell>
        </row>
        <row r="1017">
          <cell r="A1017">
            <v>2003</v>
          </cell>
          <cell r="B1017">
            <v>6</v>
          </cell>
          <cell r="C1017">
            <v>1</v>
          </cell>
          <cell r="D1017">
            <v>180</v>
          </cell>
          <cell r="E1017">
            <v>2</v>
          </cell>
          <cell r="F1017" t="str">
            <v>USD</v>
          </cell>
          <cell r="G1017">
            <v>36</v>
          </cell>
          <cell r="H1017">
            <v>25338</v>
          </cell>
          <cell r="I1017">
            <v>4</v>
          </cell>
          <cell r="J1017" t="str">
            <v>АОЗТ"Кафолат"</v>
          </cell>
          <cell r="K1017">
            <v>912168</v>
          </cell>
          <cell r="L1017">
            <v>25754.743421052633</v>
          </cell>
          <cell r="M1017">
            <v>1.0164473684210527</v>
          </cell>
          <cell r="N1017">
            <v>927170.7631578947</v>
          </cell>
        </row>
        <row r="1018">
          <cell r="A1018">
            <v>2003</v>
          </cell>
          <cell r="B1018">
            <v>6</v>
          </cell>
          <cell r="C1018">
            <v>1</v>
          </cell>
          <cell r="D1018">
            <v>180</v>
          </cell>
          <cell r="E1018">
            <v>2</v>
          </cell>
          <cell r="F1018" t="str">
            <v>USD</v>
          </cell>
          <cell r="G1018">
            <v>30</v>
          </cell>
          <cell r="H1018">
            <v>36462</v>
          </cell>
          <cell r="I1018">
            <v>3</v>
          </cell>
          <cell r="J1018" t="str">
            <v>АОЗТ"Кафолат"</v>
          </cell>
          <cell r="K1018">
            <v>1093860</v>
          </cell>
          <cell r="L1018">
            <v>37061.70394736842</v>
          </cell>
          <cell r="M1018">
            <v>1.0164473684210527</v>
          </cell>
          <cell r="N1018">
            <v>1111851.1184210526</v>
          </cell>
        </row>
        <row r="1019">
          <cell r="A1019">
            <v>2003</v>
          </cell>
          <cell r="B1019">
            <v>6</v>
          </cell>
          <cell r="C1019">
            <v>1</v>
          </cell>
          <cell r="D1019">
            <v>360</v>
          </cell>
          <cell r="E1019">
            <v>2</v>
          </cell>
          <cell r="F1019" t="str">
            <v>USD</v>
          </cell>
          <cell r="G1019">
            <v>36</v>
          </cell>
          <cell r="H1019">
            <v>8343</v>
          </cell>
          <cell r="I1019">
            <v>1</v>
          </cell>
          <cell r="J1019" t="str">
            <v>АОЗТ"Кафолат"</v>
          </cell>
          <cell r="K1019">
            <v>300348</v>
          </cell>
          <cell r="L1019">
            <v>8480.220394736842</v>
          </cell>
          <cell r="M1019">
            <v>1.0164473684210527</v>
          </cell>
          <cell r="N1019">
            <v>305287.93421052635</v>
          </cell>
        </row>
        <row r="1020">
          <cell r="A1020">
            <v>2003</v>
          </cell>
          <cell r="B1020">
            <v>6</v>
          </cell>
          <cell r="C1020">
            <v>1</v>
          </cell>
          <cell r="D1020">
            <v>180</v>
          </cell>
          <cell r="E1020">
            <v>2</v>
          </cell>
          <cell r="F1020" t="str">
            <v>TJS</v>
          </cell>
          <cell r="G1020">
            <v>40</v>
          </cell>
          <cell r="H1020">
            <v>1500</v>
          </cell>
          <cell r="I1020">
            <v>1</v>
          </cell>
          <cell r="J1020" t="str">
            <v>АОЗТ"Кафолат"</v>
          </cell>
          <cell r="K1020">
            <v>60000</v>
          </cell>
          <cell r="L1020">
            <v>1500</v>
          </cell>
          <cell r="M1020">
            <v>1</v>
          </cell>
          <cell r="N1020">
            <v>60000</v>
          </cell>
        </row>
        <row r="1021">
          <cell r="A1021">
            <v>2003</v>
          </cell>
          <cell r="B1021">
            <v>6</v>
          </cell>
          <cell r="C1021">
            <v>1</v>
          </cell>
          <cell r="D1021">
            <v>180</v>
          </cell>
          <cell r="E1021">
            <v>1</v>
          </cell>
          <cell r="F1021" t="str">
            <v>TJS</v>
          </cell>
          <cell r="G1021">
            <v>36</v>
          </cell>
          <cell r="H1021">
            <v>19100</v>
          </cell>
          <cell r="I1021">
            <v>1</v>
          </cell>
          <cell r="J1021" t="str">
            <v>АОЗТ"Кафолат"</v>
          </cell>
          <cell r="K1021">
            <v>687600</v>
          </cell>
          <cell r="L1021">
            <v>19100</v>
          </cell>
          <cell r="M1021">
            <v>1</v>
          </cell>
          <cell r="N1021">
            <v>687600</v>
          </cell>
        </row>
        <row r="1022">
          <cell r="A1022">
            <v>2003</v>
          </cell>
          <cell r="B1022">
            <v>6</v>
          </cell>
          <cell r="C1022">
            <v>3</v>
          </cell>
          <cell r="D1022">
            <v>330</v>
          </cell>
          <cell r="E1022">
            <v>1</v>
          </cell>
          <cell r="F1022" t="str">
            <v>TJS</v>
          </cell>
          <cell r="G1022">
            <v>12</v>
          </cell>
          <cell r="H1022">
            <v>10050</v>
          </cell>
          <cell r="I1022">
            <v>2</v>
          </cell>
          <cell r="J1022" t="str">
            <v>АОЗТ"Кафолат"</v>
          </cell>
          <cell r="K1022">
            <v>120600</v>
          </cell>
          <cell r="L1022">
            <v>10050</v>
          </cell>
          <cell r="M1022">
            <v>1</v>
          </cell>
          <cell r="N1022">
            <v>120600</v>
          </cell>
        </row>
        <row r="1023">
          <cell r="A1023">
            <v>2003</v>
          </cell>
          <cell r="B1023">
            <v>6</v>
          </cell>
          <cell r="C1023">
            <v>3</v>
          </cell>
          <cell r="D1023">
            <v>90</v>
          </cell>
          <cell r="E1023">
            <v>1</v>
          </cell>
          <cell r="F1023" t="str">
            <v>TJS</v>
          </cell>
          <cell r="G1023">
            <v>12</v>
          </cell>
          <cell r="H1023">
            <v>48200</v>
          </cell>
          <cell r="I1023">
            <v>2</v>
          </cell>
          <cell r="J1023" t="str">
            <v>АОЗТ"Кафолат"</v>
          </cell>
          <cell r="K1023">
            <v>578400</v>
          </cell>
          <cell r="L1023">
            <v>48200</v>
          </cell>
          <cell r="M1023">
            <v>1</v>
          </cell>
          <cell r="N1023">
            <v>578400</v>
          </cell>
        </row>
        <row r="1024">
          <cell r="A1024">
            <v>2003</v>
          </cell>
          <cell r="B1024">
            <v>6</v>
          </cell>
          <cell r="C1024">
            <v>1</v>
          </cell>
          <cell r="D1024">
            <v>360</v>
          </cell>
          <cell r="E1024">
            <v>2</v>
          </cell>
          <cell r="F1024" t="str">
            <v>TJS</v>
          </cell>
          <cell r="G1024">
            <v>12</v>
          </cell>
          <cell r="H1024">
            <v>15900</v>
          </cell>
          <cell r="I1024">
            <v>1</v>
          </cell>
          <cell r="J1024" t="str">
            <v>АОЗТ"Кафолат"</v>
          </cell>
          <cell r="K1024">
            <v>190800</v>
          </cell>
          <cell r="L1024">
            <v>15900</v>
          </cell>
          <cell r="M1024">
            <v>1</v>
          </cell>
          <cell r="N1024">
            <v>190800</v>
          </cell>
        </row>
        <row r="1025">
          <cell r="A1025">
            <v>2003</v>
          </cell>
          <cell r="B1025">
            <v>6</v>
          </cell>
          <cell r="C1025">
            <v>1</v>
          </cell>
          <cell r="D1025">
            <v>180</v>
          </cell>
          <cell r="E1025">
            <v>2</v>
          </cell>
          <cell r="F1025" t="str">
            <v>TJS</v>
          </cell>
          <cell r="G1025">
            <v>26</v>
          </cell>
          <cell r="H1025">
            <v>38700</v>
          </cell>
          <cell r="I1025">
            <v>2</v>
          </cell>
          <cell r="J1025" t="str">
            <v>АОЗТ"Кафолат"</v>
          </cell>
          <cell r="K1025">
            <v>1006200</v>
          </cell>
          <cell r="L1025">
            <v>38700</v>
          </cell>
          <cell r="M1025">
            <v>1</v>
          </cell>
          <cell r="N1025">
            <v>1006200</v>
          </cell>
        </row>
        <row r="1026">
          <cell r="A1026">
            <v>2003</v>
          </cell>
          <cell r="B1026">
            <v>6</v>
          </cell>
          <cell r="C1026">
            <v>1</v>
          </cell>
          <cell r="D1026">
            <v>30</v>
          </cell>
          <cell r="E1026">
            <v>2</v>
          </cell>
          <cell r="F1026" t="str">
            <v>TJS</v>
          </cell>
          <cell r="G1026">
            <v>36</v>
          </cell>
          <cell r="H1026">
            <v>5000</v>
          </cell>
          <cell r="I1026">
            <v>1</v>
          </cell>
          <cell r="J1026" t="str">
            <v>АОЗТ"Кафолат"</v>
          </cell>
          <cell r="K1026">
            <v>180000</v>
          </cell>
          <cell r="L1026">
            <v>5000</v>
          </cell>
          <cell r="M1026">
            <v>1</v>
          </cell>
          <cell r="N1026">
            <v>180000</v>
          </cell>
        </row>
        <row r="1027">
          <cell r="A1027">
            <v>2003</v>
          </cell>
          <cell r="B1027">
            <v>6</v>
          </cell>
          <cell r="C1027">
            <v>1</v>
          </cell>
          <cell r="D1027">
            <v>360</v>
          </cell>
          <cell r="E1027">
            <v>2</v>
          </cell>
          <cell r="F1027" t="str">
            <v>TJS</v>
          </cell>
          <cell r="G1027">
            <v>24</v>
          </cell>
          <cell r="H1027">
            <v>660</v>
          </cell>
          <cell r="I1027">
            <v>1</v>
          </cell>
          <cell r="J1027" t="str">
            <v>АОЗТ"Кафолат"</v>
          </cell>
          <cell r="K1027">
            <v>15840</v>
          </cell>
          <cell r="L1027">
            <v>660</v>
          </cell>
          <cell r="M1027">
            <v>1</v>
          </cell>
          <cell r="N1027">
            <v>15840</v>
          </cell>
        </row>
        <row r="1028">
          <cell r="A1028">
            <v>2003</v>
          </cell>
          <cell r="B1028">
            <v>6</v>
          </cell>
          <cell r="C1028">
            <v>1</v>
          </cell>
          <cell r="D1028">
            <v>180</v>
          </cell>
          <cell r="E1028">
            <v>2</v>
          </cell>
          <cell r="F1028" t="str">
            <v>TJS</v>
          </cell>
          <cell r="G1028">
            <v>36</v>
          </cell>
          <cell r="H1028">
            <v>32000</v>
          </cell>
          <cell r="I1028">
            <v>1</v>
          </cell>
          <cell r="J1028" t="str">
            <v>АОЗТ"Кафолат"</v>
          </cell>
          <cell r="K1028">
            <v>1152000</v>
          </cell>
          <cell r="L1028">
            <v>32000</v>
          </cell>
          <cell r="M1028">
            <v>1</v>
          </cell>
          <cell r="N1028">
            <v>1152000</v>
          </cell>
        </row>
        <row r="1029">
          <cell r="A1029">
            <v>2003</v>
          </cell>
          <cell r="B1029">
            <v>6</v>
          </cell>
          <cell r="C1029">
            <v>1</v>
          </cell>
          <cell r="D1029">
            <v>30</v>
          </cell>
          <cell r="E1029">
            <v>2</v>
          </cell>
          <cell r="F1029" t="str">
            <v>TJS</v>
          </cell>
          <cell r="G1029">
            <v>30</v>
          </cell>
          <cell r="H1029">
            <v>35000</v>
          </cell>
          <cell r="I1029">
            <v>1</v>
          </cell>
          <cell r="J1029" t="str">
            <v>АОЗТ"Кафолат"</v>
          </cell>
          <cell r="K1029">
            <v>1050000</v>
          </cell>
          <cell r="L1029">
            <v>35000</v>
          </cell>
          <cell r="M1029">
            <v>1</v>
          </cell>
          <cell r="N1029">
            <v>1050000</v>
          </cell>
        </row>
        <row r="1030">
          <cell r="A1030">
            <v>2003</v>
          </cell>
          <cell r="B1030">
            <v>6</v>
          </cell>
          <cell r="C1030">
            <v>3</v>
          </cell>
          <cell r="D1030">
            <v>120</v>
          </cell>
          <cell r="E1030">
            <v>1</v>
          </cell>
          <cell r="F1030" t="str">
            <v>TJS</v>
          </cell>
          <cell r="G1030">
            <v>12</v>
          </cell>
          <cell r="H1030">
            <v>56200</v>
          </cell>
          <cell r="I1030">
            <v>3</v>
          </cell>
          <cell r="J1030" t="str">
            <v>АОЗТ"Кафолат"</v>
          </cell>
          <cell r="K1030">
            <v>1686000</v>
          </cell>
          <cell r="L1030">
            <v>56200</v>
          </cell>
          <cell r="M1030">
            <v>1</v>
          </cell>
          <cell r="N1030">
            <v>1686000</v>
          </cell>
        </row>
        <row r="1031">
          <cell r="A1031">
            <v>2003</v>
          </cell>
          <cell r="B1031">
            <v>6</v>
          </cell>
          <cell r="C1031">
            <v>3</v>
          </cell>
          <cell r="D1031">
            <v>300</v>
          </cell>
          <cell r="E1031">
            <v>1</v>
          </cell>
          <cell r="F1031" t="str">
            <v>TJS</v>
          </cell>
          <cell r="G1031">
            <v>12</v>
          </cell>
          <cell r="H1031">
            <v>14000</v>
          </cell>
          <cell r="I1031">
            <v>1</v>
          </cell>
          <cell r="J1031" t="str">
            <v>АОЗТ"Кафолат"</v>
          </cell>
          <cell r="K1031">
            <v>168000</v>
          </cell>
          <cell r="L1031">
            <v>14000</v>
          </cell>
          <cell r="M1031">
            <v>1</v>
          </cell>
          <cell r="N1031">
            <v>168000</v>
          </cell>
        </row>
        <row r="1032">
          <cell r="A1032">
            <v>2003</v>
          </cell>
          <cell r="B1032">
            <v>6</v>
          </cell>
          <cell r="C1032">
            <v>3</v>
          </cell>
          <cell r="D1032">
            <v>330</v>
          </cell>
          <cell r="E1032">
            <v>1</v>
          </cell>
          <cell r="F1032" t="str">
            <v>TJS</v>
          </cell>
          <cell r="G1032">
            <v>12</v>
          </cell>
          <cell r="H1032">
            <v>59500</v>
          </cell>
          <cell r="I1032">
            <v>2</v>
          </cell>
          <cell r="J1032" t="str">
            <v>АОЗТ"Кафолат"</v>
          </cell>
          <cell r="K1032">
            <v>714000</v>
          </cell>
          <cell r="L1032">
            <v>59500</v>
          </cell>
          <cell r="M1032">
            <v>1</v>
          </cell>
          <cell r="N1032">
            <v>714000</v>
          </cell>
        </row>
        <row r="1033">
          <cell r="A1033">
            <v>2003</v>
          </cell>
          <cell r="B1033">
            <v>6</v>
          </cell>
          <cell r="C1033">
            <v>1</v>
          </cell>
          <cell r="D1033">
            <v>60</v>
          </cell>
          <cell r="E1033">
            <v>2</v>
          </cell>
          <cell r="F1033" t="str">
            <v>TJS</v>
          </cell>
          <cell r="G1033">
            <v>24</v>
          </cell>
          <cell r="H1033">
            <v>480</v>
          </cell>
          <cell r="I1033">
            <v>1</v>
          </cell>
          <cell r="J1033" t="str">
            <v>АОЗТ"Кафолат"</v>
          </cell>
          <cell r="K1033">
            <v>5760</v>
          </cell>
          <cell r="L1033">
            <v>480</v>
          </cell>
          <cell r="M1033">
            <v>1</v>
          </cell>
          <cell r="N1033">
            <v>5760</v>
          </cell>
        </row>
        <row r="1034">
          <cell r="A1034">
            <v>2003</v>
          </cell>
          <cell r="B1034">
            <v>6</v>
          </cell>
          <cell r="C1034">
            <v>1</v>
          </cell>
          <cell r="D1034">
            <v>90</v>
          </cell>
          <cell r="E1034">
            <v>2</v>
          </cell>
          <cell r="F1034" t="str">
            <v>TJS</v>
          </cell>
          <cell r="G1034">
            <v>36</v>
          </cell>
          <cell r="H1034">
            <v>1300</v>
          </cell>
          <cell r="I1034">
            <v>1</v>
          </cell>
          <cell r="J1034" t="str">
            <v>АОЗТ"Кафолат"</v>
          </cell>
          <cell r="K1034">
            <v>31200</v>
          </cell>
          <cell r="L1034">
            <v>1300</v>
          </cell>
          <cell r="M1034">
            <v>1</v>
          </cell>
          <cell r="N1034">
            <v>31200</v>
          </cell>
        </row>
        <row r="1035">
          <cell r="A1035">
            <v>2003</v>
          </cell>
          <cell r="B1035">
            <v>6</v>
          </cell>
          <cell r="C1035">
            <v>1</v>
          </cell>
          <cell r="D1035">
            <v>178</v>
          </cell>
          <cell r="E1035">
            <v>1</v>
          </cell>
          <cell r="F1035" t="str">
            <v>TJS</v>
          </cell>
          <cell r="G1035">
            <v>36</v>
          </cell>
          <cell r="H1035">
            <v>25000</v>
          </cell>
          <cell r="I1035">
            <v>1</v>
          </cell>
          <cell r="J1035" t="str">
            <v>АОЗТ"Кафолат"</v>
          </cell>
          <cell r="K1035">
            <v>900000</v>
          </cell>
          <cell r="L1035">
            <v>25000</v>
          </cell>
          <cell r="M1035">
            <v>1</v>
          </cell>
          <cell r="N1035">
            <v>900000</v>
          </cell>
        </row>
        <row r="1036">
          <cell r="A1036">
            <v>2003</v>
          </cell>
          <cell r="B1036">
            <v>6</v>
          </cell>
          <cell r="C1036">
            <v>1</v>
          </cell>
          <cell r="D1036">
            <v>181</v>
          </cell>
          <cell r="E1036">
            <v>1</v>
          </cell>
          <cell r="F1036" t="str">
            <v>TJS</v>
          </cell>
          <cell r="G1036">
            <v>36</v>
          </cell>
          <cell r="H1036">
            <v>3000</v>
          </cell>
          <cell r="I1036">
            <v>1</v>
          </cell>
          <cell r="J1036" t="str">
            <v>АОЗТ"Кафолат"</v>
          </cell>
          <cell r="K1036">
            <v>108000</v>
          </cell>
          <cell r="L1036">
            <v>3000</v>
          </cell>
          <cell r="M1036">
            <v>1</v>
          </cell>
          <cell r="N1036">
            <v>108000</v>
          </cell>
        </row>
        <row r="1037">
          <cell r="A1037">
            <v>2003</v>
          </cell>
          <cell r="B1037">
            <v>6</v>
          </cell>
          <cell r="C1037">
            <v>1</v>
          </cell>
          <cell r="D1037">
            <v>190</v>
          </cell>
          <cell r="E1037">
            <v>2</v>
          </cell>
          <cell r="F1037" t="str">
            <v>TJS</v>
          </cell>
          <cell r="G1037">
            <v>18</v>
          </cell>
          <cell r="H1037">
            <v>6000</v>
          </cell>
          <cell r="I1037">
            <v>2</v>
          </cell>
          <cell r="J1037" t="str">
            <v>АОЗТ"Кафолат"</v>
          </cell>
          <cell r="K1037">
            <v>108000</v>
          </cell>
          <cell r="L1037">
            <v>6000</v>
          </cell>
          <cell r="M1037">
            <v>1</v>
          </cell>
          <cell r="N1037">
            <v>108000</v>
          </cell>
        </row>
        <row r="1038">
          <cell r="A1038">
            <v>2003</v>
          </cell>
          <cell r="B1038">
            <v>6</v>
          </cell>
          <cell r="C1038">
            <v>1</v>
          </cell>
          <cell r="D1038">
            <v>180</v>
          </cell>
          <cell r="E1038">
            <v>2</v>
          </cell>
          <cell r="F1038" t="str">
            <v>TJS</v>
          </cell>
          <cell r="G1038">
            <v>18</v>
          </cell>
          <cell r="H1038">
            <v>5000</v>
          </cell>
          <cell r="I1038">
            <v>1</v>
          </cell>
          <cell r="J1038" t="str">
            <v>АОЗТ"Кафолат"</v>
          </cell>
          <cell r="K1038">
            <v>90000</v>
          </cell>
          <cell r="L1038">
            <v>5000</v>
          </cell>
          <cell r="M1038">
            <v>1</v>
          </cell>
          <cell r="N1038">
            <v>90000</v>
          </cell>
        </row>
        <row r="1039">
          <cell r="A1039">
            <v>2003</v>
          </cell>
          <cell r="B1039">
            <v>6</v>
          </cell>
          <cell r="C1039">
            <v>1</v>
          </cell>
          <cell r="D1039">
            <v>360</v>
          </cell>
          <cell r="E1039">
            <v>1</v>
          </cell>
          <cell r="F1039" t="str">
            <v>TJS</v>
          </cell>
          <cell r="G1039">
            <v>20</v>
          </cell>
          <cell r="H1039">
            <v>200495</v>
          </cell>
          <cell r="I1039">
            <v>3</v>
          </cell>
          <cell r="J1039" t="str">
            <v>АОЗТ "Олимп"</v>
          </cell>
          <cell r="K1039">
            <v>4009900</v>
          </cell>
          <cell r="L1039">
            <v>200495</v>
          </cell>
          <cell r="M1039">
            <v>1</v>
          </cell>
          <cell r="N1039">
            <v>4009900</v>
          </cell>
        </row>
        <row r="1040">
          <cell r="A1040">
            <v>2003</v>
          </cell>
          <cell r="B1040">
            <v>6</v>
          </cell>
          <cell r="C1040">
            <v>1</v>
          </cell>
          <cell r="D1040">
            <v>360</v>
          </cell>
          <cell r="E1040">
            <v>2</v>
          </cell>
          <cell r="F1040" t="str">
            <v>TJS</v>
          </cell>
          <cell r="G1040">
            <v>24</v>
          </cell>
          <cell r="H1040">
            <v>257900</v>
          </cell>
          <cell r="I1040">
            <v>6</v>
          </cell>
          <cell r="J1040" t="str">
            <v>АОЗТ "Олимп"</v>
          </cell>
          <cell r="K1040">
            <v>6189600</v>
          </cell>
          <cell r="L1040">
            <v>257900</v>
          </cell>
          <cell r="M1040">
            <v>1</v>
          </cell>
          <cell r="N1040">
            <v>6189600</v>
          </cell>
        </row>
        <row r="1041">
          <cell r="A1041">
            <v>2003</v>
          </cell>
          <cell r="B1041">
            <v>6</v>
          </cell>
          <cell r="C1041">
            <v>2</v>
          </cell>
          <cell r="D1041">
            <v>360</v>
          </cell>
          <cell r="E1041">
            <v>1</v>
          </cell>
          <cell r="F1041" t="str">
            <v>TJS</v>
          </cell>
          <cell r="G1041">
            <v>18</v>
          </cell>
          <cell r="H1041">
            <v>289647</v>
          </cell>
          <cell r="I1041">
            <v>6</v>
          </cell>
          <cell r="J1041" t="str">
            <v>ГАКБ "Точиксодиротбонк"</v>
          </cell>
          <cell r="K1041">
            <v>5213646</v>
          </cell>
          <cell r="L1041">
            <v>289647</v>
          </cell>
          <cell r="M1041">
            <v>1</v>
          </cell>
          <cell r="N1041">
            <v>5213646</v>
          </cell>
        </row>
        <row r="1042">
          <cell r="A1042">
            <v>2003</v>
          </cell>
          <cell r="B1042">
            <v>6</v>
          </cell>
          <cell r="C1042">
            <v>2</v>
          </cell>
          <cell r="D1042">
            <v>1080</v>
          </cell>
          <cell r="E1042">
            <v>1</v>
          </cell>
          <cell r="F1042" t="str">
            <v>TJS</v>
          </cell>
          <cell r="G1042">
            <v>22</v>
          </cell>
          <cell r="H1042">
            <v>215149</v>
          </cell>
          <cell r="I1042">
            <v>1</v>
          </cell>
          <cell r="J1042" t="str">
            <v>ГАКБ "Точиксодиротбонк"</v>
          </cell>
          <cell r="K1042">
            <v>4733278</v>
          </cell>
          <cell r="L1042">
            <v>215149</v>
          </cell>
          <cell r="M1042">
            <v>1</v>
          </cell>
          <cell r="N1042">
            <v>4733278</v>
          </cell>
        </row>
        <row r="1043">
          <cell r="A1043">
            <v>2003</v>
          </cell>
          <cell r="B1043">
            <v>6</v>
          </cell>
          <cell r="C1043">
            <v>2</v>
          </cell>
          <cell r="D1043">
            <v>360</v>
          </cell>
          <cell r="E1043">
            <v>1</v>
          </cell>
          <cell r="F1043" t="str">
            <v>TJS</v>
          </cell>
          <cell r="G1043">
            <v>22</v>
          </cell>
          <cell r="H1043">
            <v>205000</v>
          </cell>
          <cell r="I1043">
            <v>3</v>
          </cell>
          <cell r="J1043" t="str">
            <v>ГАКБ "Точиксодиротбонк"</v>
          </cell>
          <cell r="K1043">
            <v>4510000</v>
          </cell>
          <cell r="L1043">
            <v>205000</v>
          </cell>
          <cell r="M1043">
            <v>1</v>
          </cell>
          <cell r="N1043">
            <v>4510000</v>
          </cell>
        </row>
        <row r="1044">
          <cell r="A1044">
            <v>2003</v>
          </cell>
          <cell r="B1044">
            <v>6</v>
          </cell>
          <cell r="C1044">
            <v>1</v>
          </cell>
          <cell r="D1044">
            <v>360</v>
          </cell>
          <cell r="E1044">
            <v>2</v>
          </cell>
          <cell r="F1044" t="str">
            <v>TJS</v>
          </cell>
          <cell r="G1044">
            <v>12</v>
          </cell>
          <cell r="H1044">
            <v>6000</v>
          </cell>
          <cell r="I1044">
            <v>1</v>
          </cell>
          <cell r="J1044" t="str">
            <v>ГАКБ "Точиксодиротбонк"</v>
          </cell>
          <cell r="K1044">
            <v>72000</v>
          </cell>
          <cell r="L1044">
            <v>6000</v>
          </cell>
          <cell r="M1044">
            <v>1</v>
          </cell>
          <cell r="N1044">
            <v>72000</v>
          </cell>
        </row>
        <row r="1045">
          <cell r="A1045">
            <v>2003</v>
          </cell>
          <cell r="B1045">
            <v>6</v>
          </cell>
          <cell r="C1045">
            <v>5</v>
          </cell>
          <cell r="D1045">
            <v>210</v>
          </cell>
          <cell r="E1045">
            <v>1</v>
          </cell>
          <cell r="F1045" t="str">
            <v>TJS</v>
          </cell>
          <cell r="G1045">
            <v>25</v>
          </cell>
          <cell r="H1045">
            <v>56000</v>
          </cell>
          <cell r="I1045">
            <v>1</v>
          </cell>
          <cell r="J1045" t="str">
            <v>ГАКБ "Точиксодиротбонк"</v>
          </cell>
          <cell r="K1045">
            <v>1400000</v>
          </cell>
          <cell r="L1045">
            <v>56000</v>
          </cell>
          <cell r="M1045">
            <v>1</v>
          </cell>
          <cell r="N1045">
            <v>1400000</v>
          </cell>
        </row>
        <row r="1046">
          <cell r="A1046">
            <v>2003</v>
          </cell>
          <cell r="B1046">
            <v>6</v>
          </cell>
          <cell r="C1046">
            <v>1</v>
          </cell>
          <cell r="D1046">
            <v>180</v>
          </cell>
          <cell r="E1046">
            <v>2</v>
          </cell>
          <cell r="F1046" t="str">
            <v>TJS</v>
          </cell>
          <cell r="G1046">
            <v>36</v>
          </cell>
          <cell r="H1046">
            <v>16000</v>
          </cell>
          <cell r="I1046">
            <v>5</v>
          </cell>
          <cell r="J1046" t="str">
            <v>ГАКБ "Точиксодиротбонк"</v>
          </cell>
          <cell r="K1046">
            <v>576000</v>
          </cell>
          <cell r="L1046">
            <v>16000</v>
          </cell>
          <cell r="M1046">
            <v>1</v>
          </cell>
          <cell r="N1046">
            <v>576000</v>
          </cell>
        </row>
        <row r="1047">
          <cell r="A1047">
            <v>2003</v>
          </cell>
          <cell r="B1047">
            <v>6</v>
          </cell>
          <cell r="C1047">
            <v>1</v>
          </cell>
          <cell r="D1047">
            <v>180</v>
          </cell>
          <cell r="E1047">
            <v>2</v>
          </cell>
          <cell r="F1047" t="str">
            <v>TJS</v>
          </cell>
          <cell r="G1047">
            <v>42</v>
          </cell>
          <cell r="H1047">
            <v>8000</v>
          </cell>
          <cell r="I1047">
            <v>1</v>
          </cell>
          <cell r="J1047" t="str">
            <v>ГАКБ "Точиксодиротбонк"</v>
          </cell>
          <cell r="K1047">
            <v>336000</v>
          </cell>
          <cell r="L1047">
            <v>8000</v>
          </cell>
          <cell r="M1047">
            <v>1</v>
          </cell>
          <cell r="N1047">
            <v>336000</v>
          </cell>
        </row>
        <row r="1048">
          <cell r="A1048">
            <v>2003</v>
          </cell>
          <cell r="B1048">
            <v>6</v>
          </cell>
          <cell r="C1048">
            <v>1</v>
          </cell>
          <cell r="D1048">
            <v>180</v>
          </cell>
          <cell r="E1048">
            <v>2</v>
          </cell>
          <cell r="F1048" t="str">
            <v>TJS</v>
          </cell>
          <cell r="G1048">
            <v>48</v>
          </cell>
          <cell r="H1048">
            <v>1695</v>
          </cell>
          <cell r="I1048">
            <v>1</v>
          </cell>
          <cell r="J1048" t="str">
            <v>ГАКБ "Точиксодиротбонк"</v>
          </cell>
          <cell r="K1048">
            <v>81360</v>
          </cell>
          <cell r="L1048">
            <v>1695</v>
          </cell>
          <cell r="M1048">
            <v>1</v>
          </cell>
          <cell r="N1048">
            <v>81360</v>
          </cell>
        </row>
        <row r="1049">
          <cell r="A1049">
            <v>2003</v>
          </cell>
          <cell r="B1049">
            <v>6</v>
          </cell>
          <cell r="C1049">
            <v>5</v>
          </cell>
          <cell r="D1049">
            <v>180</v>
          </cell>
          <cell r="E1049">
            <v>2</v>
          </cell>
          <cell r="F1049" t="str">
            <v>TJS</v>
          </cell>
          <cell r="G1049">
            <v>48</v>
          </cell>
          <cell r="H1049">
            <v>3600</v>
          </cell>
          <cell r="I1049">
            <v>1</v>
          </cell>
          <cell r="J1049" t="str">
            <v>ГАКБ "Точиксодиротбонк"</v>
          </cell>
          <cell r="K1049">
            <v>172800</v>
          </cell>
          <cell r="L1049">
            <v>3600</v>
          </cell>
          <cell r="M1049">
            <v>1</v>
          </cell>
          <cell r="N1049">
            <v>172800</v>
          </cell>
        </row>
        <row r="1050">
          <cell r="A1050">
            <v>2003</v>
          </cell>
          <cell r="B1050">
            <v>6</v>
          </cell>
          <cell r="C1050">
            <v>1</v>
          </cell>
          <cell r="D1050">
            <v>270</v>
          </cell>
          <cell r="E1050">
            <v>1</v>
          </cell>
          <cell r="F1050" t="str">
            <v>TJS</v>
          </cell>
          <cell r="G1050">
            <v>20</v>
          </cell>
          <cell r="H1050">
            <v>23000</v>
          </cell>
          <cell r="I1050">
            <v>1</v>
          </cell>
          <cell r="J1050" t="str">
            <v>ГАКБ "Точиксодиротбонк"</v>
          </cell>
          <cell r="K1050">
            <v>460000</v>
          </cell>
          <cell r="L1050">
            <v>23000</v>
          </cell>
          <cell r="M1050">
            <v>1</v>
          </cell>
          <cell r="N1050">
            <v>460000</v>
          </cell>
        </row>
        <row r="1051">
          <cell r="A1051">
            <v>2003</v>
          </cell>
          <cell r="B1051">
            <v>6</v>
          </cell>
          <cell r="C1051">
            <v>1</v>
          </cell>
          <cell r="D1051">
            <v>180</v>
          </cell>
          <cell r="E1051">
            <v>2</v>
          </cell>
          <cell r="F1051" t="str">
            <v>TJS</v>
          </cell>
          <cell r="G1051">
            <v>48</v>
          </cell>
          <cell r="H1051">
            <v>7000</v>
          </cell>
          <cell r="I1051">
            <v>1</v>
          </cell>
          <cell r="J1051" t="str">
            <v>ГАКБ "Точиксодиротбонк"</v>
          </cell>
          <cell r="K1051">
            <v>336000</v>
          </cell>
          <cell r="L1051">
            <v>7000</v>
          </cell>
          <cell r="M1051">
            <v>1</v>
          </cell>
          <cell r="N1051">
            <v>336000</v>
          </cell>
        </row>
        <row r="1052">
          <cell r="A1052">
            <v>2003</v>
          </cell>
          <cell r="B1052">
            <v>6</v>
          </cell>
          <cell r="C1052">
            <v>1</v>
          </cell>
          <cell r="D1052">
            <v>180</v>
          </cell>
          <cell r="E1052">
            <v>2</v>
          </cell>
          <cell r="F1052" t="str">
            <v>TJS</v>
          </cell>
          <cell r="G1052">
            <v>36</v>
          </cell>
          <cell r="H1052">
            <v>19500</v>
          </cell>
          <cell r="I1052">
            <v>5</v>
          </cell>
          <cell r="J1052" t="str">
            <v>ГАКБ "Точиксодиротбонк"</v>
          </cell>
          <cell r="K1052">
            <v>702000</v>
          </cell>
          <cell r="L1052">
            <v>19500</v>
          </cell>
          <cell r="M1052">
            <v>1</v>
          </cell>
          <cell r="N1052">
            <v>702000</v>
          </cell>
        </row>
        <row r="1053">
          <cell r="A1053">
            <v>2003</v>
          </cell>
          <cell r="B1053">
            <v>6</v>
          </cell>
          <cell r="C1053">
            <v>1</v>
          </cell>
          <cell r="D1053">
            <v>180</v>
          </cell>
          <cell r="E1053">
            <v>1</v>
          </cell>
          <cell r="F1053" t="str">
            <v>TJS</v>
          </cell>
          <cell r="G1053">
            <v>36</v>
          </cell>
          <cell r="H1053">
            <v>26000</v>
          </cell>
          <cell r="I1053">
            <v>4</v>
          </cell>
          <cell r="J1053" t="str">
            <v>ГАКБ "Точиксодиротбонк"</v>
          </cell>
          <cell r="K1053">
            <v>936000</v>
          </cell>
          <cell r="L1053">
            <v>26000</v>
          </cell>
          <cell r="M1053">
            <v>1</v>
          </cell>
          <cell r="N1053">
            <v>936000</v>
          </cell>
        </row>
        <row r="1054">
          <cell r="A1054">
            <v>2003</v>
          </cell>
          <cell r="B1054">
            <v>6</v>
          </cell>
          <cell r="C1054">
            <v>1</v>
          </cell>
          <cell r="D1054">
            <v>180</v>
          </cell>
          <cell r="E1054">
            <v>1</v>
          </cell>
          <cell r="F1054" t="str">
            <v>TJS</v>
          </cell>
          <cell r="G1054">
            <v>30</v>
          </cell>
          <cell r="H1054">
            <v>15000</v>
          </cell>
          <cell r="I1054">
            <v>1</v>
          </cell>
          <cell r="J1054" t="str">
            <v>ГАКБ "Точиксодиротбонк"</v>
          </cell>
          <cell r="K1054">
            <v>450000</v>
          </cell>
          <cell r="L1054">
            <v>15000</v>
          </cell>
          <cell r="M1054">
            <v>1</v>
          </cell>
          <cell r="N1054">
            <v>450000</v>
          </cell>
        </row>
        <row r="1055">
          <cell r="A1055">
            <v>2003</v>
          </cell>
          <cell r="B1055">
            <v>6</v>
          </cell>
          <cell r="C1055">
            <v>1</v>
          </cell>
          <cell r="D1055">
            <v>180</v>
          </cell>
          <cell r="E1055">
            <v>2</v>
          </cell>
          <cell r="F1055" t="str">
            <v>TJS</v>
          </cell>
          <cell r="G1055">
            <v>60</v>
          </cell>
          <cell r="H1055">
            <v>1410</v>
          </cell>
          <cell r="I1055">
            <v>2</v>
          </cell>
          <cell r="J1055" t="str">
            <v>ГАКБ "Точиксодиротбонк"</v>
          </cell>
          <cell r="K1055">
            <v>84600</v>
          </cell>
          <cell r="L1055">
            <v>1410</v>
          </cell>
          <cell r="M1055">
            <v>1</v>
          </cell>
          <cell r="N1055">
            <v>84600</v>
          </cell>
        </row>
        <row r="1056">
          <cell r="A1056">
            <v>2003</v>
          </cell>
          <cell r="B1056">
            <v>6</v>
          </cell>
          <cell r="C1056">
            <v>1</v>
          </cell>
          <cell r="D1056">
            <v>180</v>
          </cell>
          <cell r="E1056">
            <v>2</v>
          </cell>
          <cell r="F1056" t="str">
            <v>TJS</v>
          </cell>
          <cell r="G1056">
            <v>48</v>
          </cell>
          <cell r="H1056">
            <v>24000</v>
          </cell>
          <cell r="I1056">
            <v>2</v>
          </cell>
          <cell r="J1056" t="str">
            <v>ГАКБ "Точиксодиротбонк"</v>
          </cell>
          <cell r="K1056">
            <v>1152000</v>
          </cell>
          <cell r="L1056">
            <v>24000</v>
          </cell>
          <cell r="M1056">
            <v>1</v>
          </cell>
          <cell r="N1056">
            <v>1152000</v>
          </cell>
        </row>
        <row r="1057">
          <cell r="A1057">
            <v>2003</v>
          </cell>
          <cell r="B1057">
            <v>6</v>
          </cell>
          <cell r="C1057">
            <v>3</v>
          </cell>
          <cell r="D1057">
            <v>240</v>
          </cell>
          <cell r="E1057">
            <v>1</v>
          </cell>
          <cell r="F1057" t="str">
            <v>TJS</v>
          </cell>
          <cell r="G1057">
            <v>24</v>
          </cell>
          <cell r="H1057">
            <v>19500</v>
          </cell>
          <cell r="I1057">
            <v>1</v>
          </cell>
          <cell r="J1057" t="str">
            <v>ГАКБ "Точиксодиротбонк"</v>
          </cell>
          <cell r="K1057">
            <v>468000</v>
          </cell>
          <cell r="L1057">
            <v>19500</v>
          </cell>
          <cell r="M1057">
            <v>1</v>
          </cell>
          <cell r="N1057">
            <v>468000</v>
          </cell>
        </row>
        <row r="1058">
          <cell r="A1058">
            <v>2003</v>
          </cell>
          <cell r="B1058">
            <v>6</v>
          </cell>
          <cell r="C1058">
            <v>3</v>
          </cell>
          <cell r="D1058">
            <v>270</v>
          </cell>
          <cell r="E1058">
            <v>1</v>
          </cell>
          <cell r="F1058" t="str">
            <v>USD</v>
          </cell>
          <cell r="G1058">
            <v>25</v>
          </cell>
          <cell r="H1058">
            <v>388014</v>
          </cell>
          <cell r="I1058">
            <v>1</v>
          </cell>
          <cell r="J1058" t="str">
            <v>ГАКБ "Точиксодиротбонк"</v>
          </cell>
          <cell r="K1058">
            <v>9700350</v>
          </cell>
          <cell r="L1058">
            <v>394395.80921052635</v>
          </cell>
          <cell r="M1058">
            <v>1.0164473684210527</v>
          </cell>
          <cell r="N1058">
            <v>9859895.230263159</v>
          </cell>
        </row>
        <row r="1059">
          <cell r="A1059">
            <v>2003</v>
          </cell>
          <cell r="B1059">
            <v>6</v>
          </cell>
          <cell r="C1059">
            <v>3</v>
          </cell>
          <cell r="D1059">
            <v>360</v>
          </cell>
          <cell r="E1059">
            <v>1</v>
          </cell>
          <cell r="F1059" t="str">
            <v>USD</v>
          </cell>
          <cell r="G1059">
            <v>25</v>
          </cell>
          <cell r="H1059">
            <v>513533</v>
          </cell>
          <cell r="I1059">
            <v>1</v>
          </cell>
          <cell r="J1059" t="str">
            <v>ГАКБ "Точиксодиротбонк"</v>
          </cell>
          <cell r="K1059">
            <v>12838325</v>
          </cell>
          <cell r="L1059">
            <v>521979.2664473684</v>
          </cell>
          <cell r="M1059">
            <v>1.0164473684210527</v>
          </cell>
          <cell r="N1059">
            <v>13049481.66118421</v>
          </cell>
        </row>
        <row r="1060">
          <cell r="A1060">
            <v>2003</v>
          </cell>
          <cell r="B1060">
            <v>6</v>
          </cell>
          <cell r="C1060">
            <v>1</v>
          </cell>
          <cell r="D1060">
            <v>180</v>
          </cell>
          <cell r="E1060">
            <v>1</v>
          </cell>
          <cell r="F1060" t="str">
            <v>USD</v>
          </cell>
          <cell r="G1060">
            <v>25</v>
          </cell>
          <cell r="H1060">
            <v>92700</v>
          </cell>
          <cell r="I1060">
            <v>1</v>
          </cell>
          <cell r="J1060" t="str">
            <v>ГАКБ "Точиксодиротбонк"</v>
          </cell>
          <cell r="K1060">
            <v>2317500</v>
          </cell>
          <cell r="L1060">
            <v>94224.67105263159</v>
          </cell>
          <cell r="M1060">
            <v>1.0164473684210527</v>
          </cell>
          <cell r="N1060">
            <v>2355616.7763157897</v>
          </cell>
        </row>
        <row r="1061">
          <cell r="A1061">
            <v>2003</v>
          </cell>
          <cell r="B1061">
            <v>6</v>
          </cell>
          <cell r="C1061">
            <v>3</v>
          </cell>
          <cell r="D1061">
            <v>300</v>
          </cell>
          <cell r="E1061">
            <v>1</v>
          </cell>
          <cell r="F1061" t="str">
            <v>USD</v>
          </cell>
          <cell r="G1061">
            <v>25</v>
          </cell>
          <cell r="H1061">
            <v>216300</v>
          </cell>
          <cell r="I1061">
            <v>1</v>
          </cell>
          <cell r="J1061" t="str">
            <v>ГАКБ "Точиксодиротбонк"</v>
          </cell>
          <cell r="K1061">
            <v>5407500</v>
          </cell>
          <cell r="L1061">
            <v>219857.56578947368</v>
          </cell>
          <cell r="M1061">
            <v>1.0164473684210527</v>
          </cell>
          <cell r="N1061">
            <v>5496439.144736842</v>
          </cell>
        </row>
        <row r="1062">
          <cell r="A1062">
            <v>2003</v>
          </cell>
          <cell r="B1062">
            <v>6</v>
          </cell>
          <cell r="C1062">
            <v>3</v>
          </cell>
          <cell r="D1062">
            <v>330</v>
          </cell>
          <cell r="E1062">
            <v>1</v>
          </cell>
          <cell r="F1062" t="str">
            <v>USD</v>
          </cell>
          <cell r="G1062">
            <v>25</v>
          </cell>
          <cell r="H1062">
            <v>171495</v>
          </cell>
          <cell r="I1062">
            <v>1</v>
          </cell>
          <cell r="J1062" t="str">
            <v>ГАКБ "Точиксодиротбонк"</v>
          </cell>
          <cell r="K1062">
            <v>4287375</v>
          </cell>
          <cell r="L1062">
            <v>174315.64144736843</v>
          </cell>
          <cell r="M1062">
            <v>1.0164473684210527</v>
          </cell>
          <cell r="N1062">
            <v>4357891.03618421</v>
          </cell>
        </row>
        <row r="1063">
          <cell r="A1063">
            <v>2003</v>
          </cell>
          <cell r="B1063">
            <v>6</v>
          </cell>
          <cell r="C1063">
            <v>2</v>
          </cell>
          <cell r="D1063">
            <v>270</v>
          </cell>
          <cell r="E1063">
            <v>1</v>
          </cell>
          <cell r="F1063" t="str">
            <v>USD</v>
          </cell>
          <cell r="G1063">
            <v>23</v>
          </cell>
          <cell r="H1063">
            <v>169950</v>
          </cell>
          <cell r="I1063">
            <v>1</v>
          </cell>
          <cell r="J1063" t="str">
            <v>ГАКБ "Точиксодиротбонк"</v>
          </cell>
          <cell r="K1063">
            <v>3908850</v>
          </cell>
          <cell r="L1063">
            <v>172745.2302631579</v>
          </cell>
          <cell r="M1063">
            <v>1.0164473684210527</v>
          </cell>
          <cell r="N1063">
            <v>3973140.2960526315</v>
          </cell>
        </row>
        <row r="1064">
          <cell r="A1064">
            <v>2003</v>
          </cell>
          <cell r="B1064">
            <v>6</v>
          </cell>
          <cell r="C1064">
            <v>2</v>
          </cell>
          <cell r="D1064">
            <v>210</v>
          </cell>
          <cell r="E1064">
            <v>1</v>
          </cell>
          <cell r="F1064" t="str">
            <v>USD</v>
          </cell>
          <cell r="G1064">
            <v>25</v>
          </cell>
          <cell r="H1064">
            <v>17001</v>
          </cell>
          <cell r="I1064">
            <v>1</v>
          </cell>
          <cell r="J1064" t="str">
            <v>ГАКБ "Точиксодиротбонк"</v>
          </cell>
          <cell r="K1064">
            <v>425025</v>
          </cell>
          <cell r="L1064">
            <v>17280.621710526317</v>
          </cell>
          <cell r="M1064">
            <v>1.0164473684210527</v>
          </cell>
          <cell r="N1064">
            <v>432015.5427631579</v>
          </cell>
        </row>
        <row r="1065">
          <cell r="A1065">
            <v>2003</v>
          </cell>
          <cell r="B1065">
            <v>6</v>
          </cell>
          <cell r="C1065">
            <v>1</v>
          </cell>
          <cell r="D1065">
            <v>270</v>
          </cell>
          <cell r="E1065">
            <v>1</v>
          </cell>
          <cell r="F1065" t="str">
            <v>USD</v>
          </cell>
          <cell r="G1065">
            <v>24</v>
          </cell>
          <cell r="H1065">
            <v>627270</v>
          </cell>
          <cell r="I1065">
            <v>1</v>
          </cell>
          <cell r="J1065" t="str">
            <v>ГАКБ "Точиксодиротбонк"</v>
          </cell>
          <cell r="K1065">
            <v>15054480</v>
          </cell>
          <cell r="L1065">
            <v>637586.9407894737</v>
          </cell>
          <cell r="M1065">
            <v>1.0164473684210527</v>
          </cell>
          <cell r="N1065">
            <v>15302086.578947369</v>
          </cell>
        </row>
        <row r="1066">
          <cell r="A1066">
            <v>2003</v>
          </cell>
          <cell r="B1066">
            <v>6</v>
          </cell>
          <cell r="C1066">
            <v>1</v>
          </cell>
          <cell r="D1066">
            <v>150</v>
          </cell>
          <cell r="E1066">
            <v>2</v>
          </cell>
          <cell r="F1066" t="str">
            <v>USD</v>
          </cell>
          <cell r="G1066">
            <v>27</v>
          </cell>
          <cell r="H1066">
            <v>15450</v>
          </cell>
          <cell r="I1066">
            <v>1</v>
          </cell>
          <cell r="J1066" t="str">
            <v>ГАКБ "Точиксодиротбонк"</v>
          </cell>
          <cell r="K1066">
            <v>417150</v>
          </cell>
          <cell r="L1066">
            <v>15704.111842105263</v>
          </cell>
          <cell r="M1066">
            <v>1.0164473684210527</v>
          </cell>
          <cell r="N1066">
            <v>424011.01973684214</v>
          </cell>
        </row>
        <row r="1067">
          <cell r="A1067">
            <v>2003</v>
          </cell>
          <cell r="B1067">
            <v>6</v>
          </cell>
          <cell r="C1067">
            <v>1</v>
          </cell>
          <cell r="D1067">
            <v>360</v>
          </cell>
          <cell r="E1067">
            <v>1</v>
          </cell>
          <cell r="F1067" t="str">
            <v>USD</v>
          </cell>
          <cell r="G1067">
            <v>26</v>
          </cell>
          <cell r="H1067">
            <v>63944</v>
          </cell>
          <cell r="I1067">
            <v>1</v>
          </cell>
          <cell r="J1067" t="str">
            <v>ГАКБ "Точиксодиротбонк"</v>
          </cell>
          <cell r="K1067">
            <v>1662544</v>
          </cell>
          <cell r="L1067">
            <v>64995.710526315794</v>
          </cell>
          <cell r="M1067">
            <v>1.0164473684210527</v>
          </cell>
          <cell r="N1067">
            <v>1689888.4736842106</v>
          </cell>
        </row>
        <row r="1068">
          <cell r="A1068">
            <v>2003</v>
          </cell>
          <cell r="B1068">
            <v>6</v>
          </cell>
          <cell r="C1068">
            <v>1</v>
          </cell>
          <cell r="D1068">
            <v>150</v>
          </cell>
          <cell r="E1068">
            <v>1</v>
          </cell>
          <cell r="F1068" t="str">
            <v>TJS</v>
          </cell>
          <cell r="G1068">
            <v>40</v>
          </cell>
          <cell r="H1068">
            <v>10000</v>
          </cell>
          <cell r="I1068">
            <v>1</v>
          </cell>
          <cell r="J1068" t="str">
            <v>СТК "Центрально-Азиатский банк"</v>
          </cell>
          <cell r="K1068">
            <v>400000</v>
          </cell>
          <cell r="L1068">
            <v>10000</v>
          </cell>
          <cell r="M1068">
            <v>1</v>
          </cell>
          <cell r="N1068">
            <v>400000</v>
          </cell>
        </row>
        <row r="1069">
          <cell r="A1069">
            <v>2003</v>
          </cell>
          <cell r="B1069">
            <v>6</v>
          </cell>
          <cell r="C1069">
            <v>1</v>
          </cell>
          <cell r="D1069">
            <v>180</v>
          </cell>
          <cell r="E1069">
            <v>2</v>
          </cell>
          <cell r="F1069" t="str">
            <v>TJS</v>
          </cell>
          <cell r="G1069">
            <v>0</v>
          </cell>
          <cell r="H1069">
            <v>500</v>
          </cell>
          <cell r="I1069">
            <v>2</v>
          </cell>
          <cell r="J1069" t="str">
            <v>СТК "Центрально-Азиатский банк"</v>
          </cell>
          <cell r="K1069">
            <v>0</v>
          </cell>
          <cell r="L1069">
            <v>500</v>
          </cell>
          <cell r="M1069">
            <v>1</v>
          </cell>
          <cell r="N1069">
            <v>0</v>
          </cell>
        </row>
        <row r="1070">
          <cell r="A1070">
            <v>2003</v>
          </cell>
          <cell r="B1070">
            <v>6</v>
          </cell>
          <cell r="C1070">
            <v>1</v>
          </cell>
          <cell r="D1070">
            <v>30</v>
          </cell>
          <cell r="E1070">
            <v>1</v>
          </cell>
          <cell r="F1070" t="str">
            <v>TJS</v>
          </cell>
          <cell r="G1070">
            <v>40</v>
          </cell>
          <cell r="H1070">
            <v>30000</v>
          </cell>
          <cell r="I1070">
            <v>1</v>
          </cell>
          <cell r="J1070" t="str">
            <v>СТК "Центрально-Азиатский банк"</v>
          </cell>
          <cell r="K1070">
            <v>1200000</v>
          </cell>
          <cell r="L1070">
            <v>30000</v>
          </cell>
          <cell r="M1070">
            <v>1</v>
          </cell>
          <cell r="N1070">
            <v>1200000</v>
          </cell>
        </row>
        <row r="1071">
          <cell r="A1071">
            <v>2003</v>
          </cell>
          <cell r="B1071">
            <v>6</v>
          </cell>
          <cell r="C1071">
            <v>1</v>
          </cell>
          <cell r="D1071">
            <v>90</v>
          </cell>
          <cell r="E1071">
            <v>1</v>
          </cell>
          <cell r="F1071" t="str">
            <v>TJS</v>
          </cell>
          <cell r="G1071">
            <v>40</v>
          </cell>
          <cell r="H1071">
            <v>4500</v>
          </cell>
          <cell r="I1071">
            <v>1</v>
          </cell>
          <cell r="J1071" t="str">
            <v>СТК "Центрально-Азиатский банк"</v>
          </cell>
          <cell r="K1071">
            <v>180000</v>
          </cell>
          <cell r="L1071">
            <v>4500</v>
          </cell>
          <cell r="M1071">
            <v>1</v>
          </cell>
          <cell r="N1071">
            <v>180000</v>
          </cell>
        </row>
        <row r="1072">
          <cell r="A1072">
            <v>2003</v>
          </cell>
          <cell r="B1072">
            <v>6</v>
          </cell>
          <cell r="C1072">
            <v>1</v>
          </cell>
          <cell r="D1072">
            <v>120</v>
          </cell>
          <cell r="E1072">
            <v>2</v>
          </cell>
          <cell r="F1072" t="str">
            <v>TJS</v>
          </cell>
          <cell r="G1072">
            <v>40</v>
          </cell>
          <cell r="H1072">
            <v>10000</v>
          </cell>
          <cell r="I1072">
            <v>1</v>
          </cell>
          <cell r="J1072" t="str">
            <v>СТК "Центрально-Азиатский банк"</v>
          </cell>
          <cell r="K1072">
            <v>400000</v>
          </cell>
          <cell r="L1072">
            <v>10000</v>
          </cell>
          <cell r="M1072">
            <v>1</v>
          </cell>
          <cell r="N1072">
            <v>400000</v>
          </cell>
        </row>
        <row r="1073">
          <cell r="A1073">
            <v>2003</v>
          </cell>
          <cell r="B1073">
            <v>6</v>
          </cell>
          <cell r="C1073">
            <v>1</v>
          </cell>
          <cell r="D1073">
            <v>60</v>
          </cell>
          <cell r="E1073">
            <v>1</v>
          </cell>
          <cell r="F1073" t="str">
            <v>TJS</v>
          </cell>
          <cell r="G1073">
            <v>12</v>
          </cell>
          <cell r="H1073">
            <v>756032</v>
          </cell>
          <cell r="I1073">
            <v>4</v>
          </cell>
          <cell r="J1073" t="str">
            <v>ТАК ПБРР "Таджпромбанк"</v>
          </cell>
          <cell r="K1073">
            <v>9072384</v>
          </cell>
          <cell r="L1073">
            <v>756032</v>
          </cell>
          <cell r="M1073">
            <v>1</v>
          </cell>
          <cell r="N1073">
            <v>9072384</v>
          </cell>
        </row>
        <row r="1074">
          <cell r="A1074">
            <v>2003</v>
          </cell>
          <cell r="B1074">
            <v>6</v>
          </cell>
          <cell r="C1074">
            <v>5</v>
          </cell>
          <cell r="D1074">
            <v>30</v>
          </cell>
          <cell r="E1074">
            <v>1</v>
          </cell>
          <cell r="F1074" t="str">
            <v>TJS</v>
          </cell>
          <cell r="G1074">
            <v>12</v>
          </cell>
          <cell r="H1074">
            <v>1702377</v>
          </cell>
          <cell r="I1074">
            <v>5</v>
          </cell>
          <cell r="J1074" t="str">
            <v>ТАК ПБРР "Таджпромбанк"</v>
          </cell>
          <cell r="K1074">
            <v>20428524</v>
          </cell>
          <cell r="L1074">
            <v>1702377</v>
          </cell>
          <cell r="M1074">
            <v>1</v>
          </cell>
          <cell r="N1074">
            <v>20428524</v>
          </cell>
        </row>
        <row r="1075">
          <cell r="A1075">
            <v>2003</v>
          </cell>
          <cell r="B1075">
            <v>6</v>
          </cell>
          <cell r="C1075">
            <v>5</v>
          </cell>
          <cell r="D1075">
            <v>90</v>
          </cell>
          <cell r="E1075">
            <v>1</v>
          </cell>
          <cell r="F1075" t="str">
            <v>TJS</v>
          </cell>
          <cell r="G1075">
            <v>21</v>
          </cell>
          <cell r="H1075">
            <v>20000</v>
          </cell>
          <cell r="I1075">
            <v>1</v>
          </cell>
          <cell r="J1075" t="str">
            <v>ТАК ПБРР "Таджпромбанк"</v>
          </cell>
          <cell r="K1075">
            <v>420000</v>
          </cell>
          <cell r="L1075">
            <v>20000</v>
          </cell>
          <cell r="M1075">
            <v>1</v>
          </cell>
          <cell r="N1075">
            <v>420000</v>
          </cell>
        </row>
        <row r="1076">
          <cell r="A1076">
            <v>2003</v>
          </cell>
          <cell r="B1076">
            <v>6</v>
          </cell>
          <cell r="C1076">
            <v>5</v>
          </cell>
          <cell r="D1076">
            <v>90</v>
          </cell>
          <cell r="E1076">
            <v>1</v>
          </cell>
          <cell r="F1076" t="str">
            <v>TJS</v>
          </cell>
          <cell r="G1076">
            <v>24</v>
          </cell>
          <cell r="H1076">
            <v>10000</v>
          </cell>
          <cell r="I1076">
            <v>1</v>
          </cell>
          <cell r="J1076" t="str">
            <v>ТАК ПБРР "Таджпромбанк"</v>
          </cell>
          <cell r="K1076">
            <v>240000</v>
          </cell>
          <cell r="L1076">
            <v>10000</v>
          </cell>
          <cell r="M1076">
            <v>1</v>
          </cell>
          <cell r="N1076">
            <v>240000</v>
          </cell>
        </row>
        <row r="1077">
          <cell r="A1077">
            <v>2003</v>
          </cell>
          <cell r="B1077">
            <v>6</v>
          </cell>
          <cell r="C1077">
            <v>5</v>
          </cell>
          <cell r="D1077">
            <v>90</v>
          </cell>
          <cell r="E1077">
            <v>2</v>
          </cell>
          <cell r="F1077" t="str">
            <v>TJS</v>
          </cell>
          <cell r="G1077">
            <v>24</v>
          </cell>
          <cell r="H1077">
            <v>9000</v>
          </cell>
          <cell r="I1077">
            <v>1</v>
          </cell>
          <cell r="J1077" t="str">
            <v>ТАК ПБРР "Таджпромбанк"</v>
          </cell>
          <cell r="K1077">
            <v>216000</v>
          </cell>
          <cell r="L1077">
            <v>9000</v>
          </cell>
          <cell r="M1077">
            <v>1</v>
          </cell>
          <cell r="N1077">
            <v>216000</v>
          </cell>
        </row>
        <row r="1078">
          <cell r="A1078">
            <v>2003</v>
          </cell>
          <cell r="B1078">
            <v>6</v>
          </cell>
          <cell r="C1078">
            <v>1</v>
          </cell>
          <cell r="D1078">
            <v>180</v>
          </cell>
          <cell r="E1078">
            <v>2</v>
          </cell>
          <cell r="F1078" t="str">
            <v>TJS</v>
          </cell>
          <cell r="G1078">
            <v>24</v>
          </cell>
          <cell r="H1078">
            <v>2500</v>
          </cell>
          <cell r="I1078">
            <v>1</v>
          </cell>
          <cell r="J1078" t="str">
            <v>ТАК ПБРР "Таджпромбанк"</v>
          </cell>
          <cell r="K1078">
            <v>60000</v>
          </cell>
          <cell r="L1078">
            <v>2500</v>
          </cell>
          <cell r="M1078">
            <v>1</v>
          </cell>
          <cell r="N1078">
            <v>60000</v>
          </cell>
        </row>
        <row r="1079">
          <cell r="A1079">
            <v>2003</v>
          </cell>
          <cell r="B1079">
            <v>6</v>
          </cell>
          <cell r="C1079">
            <v>1</v>
          </cell>
          <cell r="D1079">
            <v>90</v>
          </cell>
          <cell r="E1079">
            <v>2</v>
          </cell>
          <cell r="F1079" t="str">
            <v>USD</v>
          </cell>
          <cell r="G1079">
            <v>24</v>
          </cell>
          <cell r="H1079">
            <v>463500</v>
          </cell>
          <cell r="I1079">
            <v>1</v>
          </cell>
          <cell r="J1079" t="str">
            <v>ТАК ПБРР "Таджпромбанк"</v>
          </cell>
          <cell r="K1079">
            <v>11124000</v>
          </cell>
          <cell r="L1079">
            <v>471123.3552631579</v>
          </cell>
          <cell r="M1079">
            <v>1.0164473684210527</v>
          </cell>
          <cell r="N1079">
            <v>11306960.52631579</v>
          </cell>
        </row>
        <row r="1080">
          <cell r="A1080">
            <v>2003</v>
          </cell>
          <cell r="B1080">
            <v>6</v>
          </cell>
          <cell r="C1080">
            <v>5</v>
          </cell>
          <cell r="D1080">
            <v>30</v>
          </cell>
          <cell r="E1080">
            <v>1</v>
          </cell>
          <cell r="F1080" t="str">
            <v>USD</v>
          </cell>
          <cell r="G1080">
            <v>12</v>
          </cell>
          <cell r="H1080">
            <v>108876</v>
          </cell>
          <cell r="I1080">
            <v>1</v>
          </cell>
          <cell r="J1080" t="str">
            <v>ТАК ПБРР "Таджпромбанк"</v>
          </cell>
          <cell r="K1080">
            <v>1306512</v>
          </cell>
          <cell r="L1080">
            <v>110666.72368421053</v>
          </cell>
          <cell r="M1080">
            <v>1.0164473684210527</v>
          </cell>
          <cell r="N1080">
            <v>1328000.6842105263</v>
          </cell>
        </row>
        <row r="1081">
          <cell r="A1081">
            <v>2003</v>
          </cell>
          <cell r="B1081">
            <v>6</v>
          </cell>
          <cell r="C1081">
            <v>1</v>
          </cell>
          <cell r="D1081">
            <v>180</v>
          </cell>
          <cell r="E1081">
            <v>0</v>
          </cell>
          <cell r="F1081" t="str">
            <v>USD</v>
          </cell>
          <cell r="G1081">
            <v>24</v>
          </cell>
          <cell r="H1081">
            <v>39243</v>
          </cell>
          <cell r="I1081">
            <v>1</v>
          </cell>
          <cell r="J1081" t="str">
            <v>ТАК ПБРР "Таджпромбанк"</v>
          </cell>
          <cell r="K1081">
            <v>941832</v>
          </cell>
          <cell r="L1081">
            <v>39888.44407894737</v>
          </cell>
          <cell r="M1081">
            <v>1.0164473684210527</v>
          </cell>
          <cell r="N1081">
            <v>957322.6578947369</v>
          </cell>
        </row>
        <row r="1082">
          <cell r="A1082">
            <v>2003</v>
          </cell>
          <cell r="B1082">
            <v>6</v>
          </cell>
          <cell r="C1082">
            <v>5</v>
          </cell>
          <cell r="D1082">
            <v>90</v>
          </cell>
          <cell r="E1082">
            <v>1</v>
          </cell>
          <cell r="F1082" t="str">
            <v>TJS</v>
          </cell>
          <cell r="G1082">
            <v>24</v>
          </cell>
          <cell r="H1082">
            <v>9000</v>
          </cell>
          <cell r="I1082">
            <v>1</v>
          </cell>
          <cell r="J1082" t="str">
            <v>ТАК ПСБ "Ориёнбанк"</v>
          </cell>
          <cell r="K1082">
            <v>216000</v>
          </cell>
          <cell r="L1082">
            <v>9000</v>
          </cell>
          <cell r="M1082">
            <v>1</v>
          </cell>
          <cell r="N1082">
            <v>216000</v>
          </cell>
        </row>
        <row r="1083">
          <cell r="A1083">
            <v>2003</v>
          </cell>
          <cell r="B1083">
            <v>6</v>
          </cell>
          <cell r="C1083">
            <v>1</v>
          </cell>
          <cell r="D1083">
            <v>360</v>
          </cell>
          <cell r="E1083">
            <v>2</v>
          </cell>
          <cell r="F1083" t="str">
            <v>TJS</v>
          </cell>
          <cell r="G1083">
            <v>28</v>
          </cell>
          <cell r="H1083">
            <v>49500</v>
          </cell>
          <cell r="I1083">
            <v>5</v>
          </cell>
          <cell r="J1083" t="str">
            <v>ТАК ПСБ "Ориёнбанк"</v>
          </cell>
          <cell r="K1083">
            <v>1386000</v>
          </cell>
          <cell r="L1083">
            <v>49500</v>
          </cell>
          <cell r="M1083">
            <v>1</v>
          </cell>
          <cell r="N1083">
            <v>1386000</v>
          </cell>
        </row>
        <row r="1084">
          <cell r="A1084">
            <v>2003</v>
          </cell>
          <cell r="B1084">
            <v>6</v>
          </cell>
          <cell r="C1084">
            <v>1</v>
          </cell>
          <cell r="D1084">
            <v>90</v>
          </cell>
          <cell r="E1084">
            <v>1</v>
          </cell>
          <cell r="F1084" t="str">
            <v>TJS</v>
          </cell>
          <cell r="G1084">
            <v>28</v>
          </cell>
          <cell r="H1084">
            <v>2500</v>
          </cell>
          <cell r="I1084">
            <v>1</v>
          </cell>
          <cell r="J1084" t="str">
            <v>ТАК ПСБ "Ориёнбанк"</v>
          </cell>
          <cell r="K1084">
            <v>70000</v>
          </cell>
          <cell r="L1084">
            <v>2500</v>
          </cell>
          <cell r="M1084">
            <v>1</v>
          </cell>
          <cell r="N1084">
            <v>70000</v>
          </cell>
        </row>
        <row r="1085">
          <cell r="A1085">
            <v>2003</v>
          </cell>
          <cell r="B1085">
            <v>6</v>
          </cell>
          <cell r="C1085">
            <v>1</v>
          </cell>
          <cell r="D1085">
            <v>270</v>
          </cell>
          <cell r="E1085">
            <v>2</v>
          </cell>
          <cell r="F1085" t="str">
            <v>TJS</v>
          </cell>
          <cell r="G1085">
            <v>28</v>
          </cell>
          <cell r="H1085">
            <v>40770</v>
          </cell>
          <cell r="I1085">
            <v>1</v>
          </cell>
          <cell r="J1085" t="str">
            <v>ТАК ПСБ "Ориёнбанк"</v>
          </cell>
          <cell r="K1085">
            <v>1141560</v>
          </cell>
          <cell r="L1085">
            <v>40770</v>
          </cell>
          <cell r="M1085">
            <v>1</v>
          </cell>
          <cell r="N1085">
            <v>1141560</v>
          </cell>
        </row>
        <row r="1086">
          <cell r="A1086">
            <v>2003</v>
          </cell>
          <cell r="B1086">
            <v>6</v>
          </cell>
          <cell r="C1086">
            <v>1</v>
          </cell>
          <cell r="D1086">
            <v>360</v>
          </cell>
          <cell r="E1086">
            <v>1</v>
          </cell>
          <cell r="F1086" t="str">
            <v>TJS</v>
          </cell>
          <cell r="G1086">
            <v>28</v>
          </cell>
          <cell r="H1086">
            <v>120000</v>
          </cell>
          <cell r="I1086">
            <v>2</v>
          </cell>
          <cell r="J1086" t="str">
            <v>ТАК ПСБ "Ориёнбанк"</v>
          </cell>
          <cell r="K1086">
            <v>3360000</v>
          </cell>
          <cell r="L1086">
            <v>120000</v>
          </cell>
          <cell r="M1086">
            <v>1</v>
          </cell>
          <cell r="N1086">
            <v>3360000</v>
          </cell>
        </row>
        <row r="1087">
          <cell r="A1087">
            <v>2003</v>
          </cell>
          <cell r="B1087">
            <v>6</v>
          </cell>
          <cell r="C1087">
            <v>5</v>
          </cell>
          <cell r="D1087">
            <v>46</v>
          </cell>
          <cell r="E1087">
            <v>2</v>
          </cell>
          <cell r="F1087" t="str">
            <v>TJS</v>
          </cell>
          <cell r="G1087">
            <v>36</v>
          </cell>
          <cell r="H1087">
            <v>2500</v>
          </cell>
          <cell r="I1087">
            <v>1</v>
          </cell>
          <cell r="J1087" t="str">
            <v>ТАК ПСБ "Ориёнбанк"</v>
          </cell>
          <cell r="K1087">
            <v>90000</v>
          </cell>
          <cell r="L1087">
            <v>2500</v>
          </cell>
          <cell r="M1087">
            <v>1</v>
          </cell>
          <cell r="N1087">
            <v>90000</v>
          </cell>
        </row>
        <row r="1088">
          <cell r="A1088">
            <v>2003</v>
          </cell>
          <cell r="B1088">
            <v>6</v>
          </cell>
          <cell r="C1088">
            <v>1</v>
          </cell>
          <cell r="D1088">
            <v>360</v>
          </cell>
          <cell r="E1088">
            <v>2</v>
          </cell>
          <cell r="F1088" t="str">
            <v>TJS</v>
          </cell>
          <cell r="G1088">
            <v>36</v>
          </cell>
          <cell r="H1088">
            <v>91000</v>
          </cell>
          <cell r="I1088">
            <v>20</v>
          </cell>
          <cell r="J1088" t="str">
            <v>ТАК ПСБ "Ориёнбанк"</v>
          </cell>
          <cell r="K1088">
            <v>3276000</v>
          </cell>
          <cell r="L1088">
            <v>91000</v>
          </cell>
          <cell r="M1088">
            <v>1</v>
          </cell>
          <cell r="N1088">
            <v>3276000</v>
          </cell>
        </row>
        <row r="1089">
          <cell r="A1089">
            <v>2003</v>
          </cell>
          <cell r="B1089">
            <v>6</v>
          </cell>
          <cell r="C1089">
            <v>1</v>
          </cell>
          <cell r="D1089">
            <v>270</v>
          </cell>
          <cell r="E1089">
            <v>2</v>
          </cell>
          <cell r="F1089" t="str">
            <v>TJS</v>
          </cell>
          <cell r="G1089">
            <v>36</v>
          </cell>
          <cell r="H1089">
            <v>2500</v>
          </cell>
          <cell r="I1089">
            <v>1</v>
          </cell>
          <cell r="J1089" t="str">
            <v>ТАК ПСБ "Ориёнбанк"</v>
          </cell>
          <cell r="K1089">
            <v>90000</v>
          </cell>
          <cell r="L1089">
            <v>2500</v>
          </cell>
          <cell r="M1089">
            <v>1</v>
          </cell>
          <cell r="N1089">
            <v>90000</v>
          </cell>
        </row>
        <row r="1090">
          <cell r="A1090">
            <v>2003</v>
          </cell>
          <cell r="B1090">
            <v>6</v>
          </cell>
          <cell r="C1090">
            <v>1</v>
          </cell>
          <cell r="D1090">
            <v>270</v>
          </cell>
          <cell r="E1090">
            <v>2</v>
          </cell>
          <cell r="F1090" t="str">
            <v>TJS</v>
          </cell>
          <cell r="G1090">
            <v>33</v>
          </cell>
          <cell r="H1090">
            <v>2500</v>
          </cell>
          <cell r="I1090">
            <v>1</v>
          </cell>
          <cell r="J1090" t="str">
            <v>ТАК ПСБ "Ориёнбанк"</v>
          </cell>
          <cell r="K1090">
            <v>82500</v>
          </cell>
          <cell r="L1090">
            <v>2500</v>
          </cell>
          <cell r="M1090">
            <v>1</v>
          </cell>
          <cell r="N1090">
            <v>82500</v>
          </cell>
        </row>
        <row r="1091">
          <cell r="A1091">
            <v>2003</v>
          </cell>
          <cell r="B1091">
            <v>6</v>
          </cell>
          <cell r="C1091">
            <v>1</v>
          </cell>
          <cell r="D1091">
            <v>360</v>
          </cell>
          <cell r="E1091">
            <v>2</v>
          </cell>
          <cell r="F1091" t="str">
            <v>TJS</v>
          </cell>
          <cell r="G1091">
            <v>48</v>
          </cell>
          <cell r="H1091">
            <v>2500</v>
          </cell>
          <cell r="I1091">
            <v>1</v>
          </cell>
          <cell r="J1091" t="str">
            <v>ТАК ПСБ "Ориёнбанк"</v>
          </cell>
          <cell r="K1091">
            <v>120000</v>
          </cell>
          <cell r="L1091">
            <v>2500</v>
          </cell>
          <cell r="M1091">
            <v>1</v>
          </cell>
          <cell r="N1091">
            <v>120000</v>
          </cell>
        </row>
        <row r="1092">
          <cell r="A1092">
            <v>2003</v>
          </cell>
          <cell r="B1092">
            <v>6</v>
          </cell>
          <cell r="C1092">
            <v>1</v>
          </cell>
          <cell r="D1092">
            <v>350</v>
          </cell>
          <cell r="E1092">
            <v>2</v>
          </cell>
          <cell r="F1092" t="str">
            <v>TJS</v>
          </cell>
          <cell r="G1092">
            <v>36</v>
          </cell>
          <cell r="H1092">
            <v>2500</v>
          </cell>
          <cell r="I1092">
            <v>1</v>
          </cell>
          <cell r="J1092" t="str">
            <v>ТАК ПСБ "Ориёнбанк"</v>
          </cell>
          <cell r="K1092">
            <v>90000</v>
          </cell>
          <cell r="L1092">
            <v>2500</v>
          </cell>
          <cell r="M1092">
            <v>1</v>
          </cell>
          <cell r="N1092">
            <v>90000</v>
          </cell>
        </row>
        <row r="1093">
          <cell r="A1093">
            <v>2003</v>
          </cell>
          <cell r="B1093">
            <v>6</v>
          </cell>
          <cell r="C1093">
            <v>1</v>
          </cell>
          <cell r="D1093">
            <v>360</v>
          </cell>
          <cell r="E1093">
            <v>2</v>
          </cell>
          <cell r="F1093" t="str">
            <v>TJS</v>
          </cell>
          <cell r="G1093">
            <v>24</v>
          </cell>
          <cell r="H1093">
            <v>2000</v>
          </cell>
          <cell r="I1093">
            <v>1</v>
          </cell>
          <cell r="J1093" t="str">
            <v>ТАК ПСБ "Ориёнбанк"</v>
          </cell>
          <cell r="K1093">
            <v>48000</v>
          </cell>
          <cell r="L1093">
            <v>2000</v>
          </cell>
          <cell r="M1093">
            <v>1</v>
          </cell>
          <cell r="N1093">
            <v>48000</v>
          </cell>
        </row>
        <row r="1094">
          <cell r="A1094">
            <v>2003</v>
          </cell>
          <cell r="B1094">
            <v>6</v>
          </cell>
          <cell r="C1094">
            <v>1</v>
          </cell>
          <cell r="D1094">
            <v>360</v>
          </cell>
          <cell r="E1094">
            <v>2</v>
          </cell>
          <cell r="F1094" t="str">
            <v>TJS</v>
          </cell>
          <cell r="G1094">
            <v>41</v>
          </cell>
          <cell r="H1094">
            <v>12000</v>
          </cell>
          <cell r="I1094">
            <v>1</v>
          </cell>
          <cell r="J1094" t="str">
            <v>ТАК ПСБ "Ориёнбанк"</v>
          </cell>
          <cell r="K1094">
            <v>492000</v>
          </cell>
          <cell r="L1094">
            <v>12000</v>
          </cell>
          <cell r="M1094">
            <v>1</v>
          </cell>
          <cell r="N1094">
            <v>492000</v>
          </cell>
        </row>
        <row r="1095">
          <cell r="A1095">
            <v>2003</v>
          </cell>
          <cell r="B1095">
            <v>6</v>
          </cell>
          <cell r="C1095">
            <v>1</v>
          </cell>
          <cell r="D1095">
            <v>330</v>
          </cell>
          <cell r="E1095">
            <v>2</v>
          </cell>
          <cell r="F1095" t="str">
            <v>TJS</v>
          </cell>
          <cell r="G1095">
            <v>36</v>
          </cell>
          <cell r="H1095">
            <v>2500</v>
          </cell>
          <cell r="I1095">
            <v>1</v>
          </cell>
          <cell r="J1095" t="str">
            <v>ТАК ПСБ "Ориёнбанк"</v>
          </cell>
          <cell r="K1095">
            <v>90000</v>
          </cell>
          <cell r="L1095">
            <v>2500</v>
          </cell>
          <cell r="M1095">
            <v>1</v>
          </cell>
          <cell r="N1095">
            <v>90000</v>
          </cell>
        </row>
        <row r="1096">
          <cell r="A1096">
            <v>2003</v>
          </cell>
          <cell r="B1096">
            <v>6</v>
          </cell>
          <cell r="C1096">
            <v>1</v>
          </cell>
          <cell r="D1096">
            <v>357</v>
          </cell>
          <cell r="E1096">
            <v>2</v>
          </cell>
          <cell r="F1096" t="str">
            <v>TJS</v>
          </cell>
          <cell r="G1096">
            <v>36</v>
          </cell>
          <cell r="H1096">
            <v>8000</v>
          </cell>
          <cell r="I1096">
            <v>1</v>
          </cell>
          <cell r="J1096" t="str">
            <v>ТАК ПСБ "Ориёнбанк"</v>
          </cell>
          <cell r="K1096">
            <v>288000</v>
          </cell>
          <cell r="L1096">
            <v>8000</v>
          </cell>
          <cell r="M1096">
            <v>1</v>
          </cell>
          <cell r="N1096">
            <v>288000</v>
          </cell>
        </row>
        <row r="1097">
          <cell r="A1097">
            <v>2003</v>
          </cell>
          <cell r="B1097">
            <v>6</v>
          </cell>
          <cell r="C1097">
            <v>1</v>
          </cell>
          <cell r="D1097">
            <v>238</v>
          </cell>
          <cell r="E1097">
            <v>2</v>
          </cell>
          <cell r="F1097" t="str">
            <v>TJS</v>
          </cell>
          <cell r="G1097">
            <v>36</v>
          </cell>
          <cell r="H1097">
            <v>1200</v>
          </cell>
          <cell r="I1097">
            <v>1</v>
          </cell>
          <cell r="J1097" t="str">
            <v>ТАК ПСБ "Ориёнбанк"</v>
          </cell>
          <cell r="K1097">
            <v>43200</v>
          </cell>
          <cell r="L1097">
            <v>1200</v>
          </cell>
          <cell r="M1097">
            <v>1</v>
          </cell>
          <cell r="N1097">
            <v>43200</v>
          </cell>
        </row>
        <row r="1098">
          <cell r="A1098">
            <v>2003</v>
          </cell>
          <cell r="B1098">
            <v>6</v>
          </cell>
          <cell r="C1098">
            <v>1</v>
          </cell>
          <cell r="D1098">
            <v>62</v>
          </cell>
          <cell r="E1098">
            <v>2</v>
          </cell>
          <cell r="F1098" t="str">
            <v>TJS</v>
          </cell>
          <cell r="G1098">
            <v>36</v>
          </cell>
          <cell r="H1098">
            <v>4500</v>
          </cell>
          <cell r="I1098">
            <v>2</v>
          </cell>
          <cell r="J1098" t="str">
            <v>ТАК ПСБ "Ориёнбанк"</v>
          </cell>
          <cell r="K1098">
            <v>162000</v>
          </cell>
          <cell r="L1098">
            <v>4500</v>
          </cell>
          <cell r="M1098">
            <v>1</v>
          </cell>
          <cell r="N1098">
            <v>162000</v>
          </cell>
        </row>
        <row r="1099">
          <cell r="A1099">
            <v>2003</v>
          </cell>
          <cell r="B1099">
            <v>6</v>
          </cell>
          <cell r="C1099">
            <v>1</v>
          </cell>
          <cell r="D1099">
            <v>150</v>
          </cell>
          <cell r="E1099">
            <v>2</v>
          </cell>
          <cell r="F1099" t="str">
            <v>TJS</v>
          </cell>
          <cell r="G1099">
            <v>30</v>
          </cell>
          <cell r="H1099">
            <v>800</v>
          </cell>
          <cell r="I1099">
            <v>1</v>
          </cell>
          <cell r="J1099" t="str">
            <v>ТАК ПСБ "Ориёнбанк"</v>
          </cell>
          <cell r="K1099">
            <v>24000</v>
          </cell>
          <cell r="L1099">
            <v>800</v>
          </cell>
          <cell r="M1099">
            <v>1</v>
          </cell>
          <cell r="N1099">
            <v>24000</v>
          </cell>
        </row>
        <row r="1100">
          <cell r="A1100">
            <v>2003</v>
          </cell>
          <cell r="B1100">
            <v>6</v>
          </cell>
          <cell r="C1100">
            <v>1</v>
          </cell>
          <cell r="D1100">
            <v>148</v>
          </cell>
          <cell r="E1100">
            <v>2</v>
          </cell>
          <cell r="F1100" t="str">
            <v>TJS</v>
          </cell>
          <cell r="G1100">
            <v>30</v>
          </cell>
          <cell r="H1100">
            <v>2500</v>
          </cell>
          <cell r="I1100">
            <v>1</v>
          </cell>
          <cell r="J1100" t="str">
            <v>ТАК ПСБ "Ориёнбанк"</v>
          </cell>
          <cell r="K1100">
            <v>75000</v>
          </cell>
          <cell r="L1100">
            <v>2500</v>
          </cell>
          <cell r="M1100">
            <v>1</v>
          </cell>
          <cell r="N1100">
            <v>75000</v>
          </cell>
        </row>
        <row r="1101">
          <cell r="A1101">
            <v>2003</v>
          </cell>
          <cell r="B1101">
            <v>6</v>
          </cell>
          <cell r="C1101">
            <v>1</v>
          </cell>
          <cell r="D1101">
            <v>177</v>
          </cell>
          <cell r="E1101">
            <v>2</v>
          </cell>
          <cell r="F1101" t="str">
            <v>TJS</v>
          </cell>
          <cell r="G1101">
            <v>30</v>
          </cell>
          <cell r="H1101">
            <v>7500</v>
          </cell>
          <cell r="I1101">
            <v>3</v>
          </cell>
          <cell r="J1101" t="str">
            <v>ТАК ПСБ "Ориёнбанк"</v>
          </cell>
          <cell r="K1101">
            <v>225000</v>
          </cell>
          <cell r="L1101">
            <v>7500</v>
          </cell>
          <cell r="M1101">
            <v>1</v>
          </cell>
          <cell r="N1101">
            <v>225000</v>
          </cell>
        </row>
        <row r="1102">
          <cell r="A1102">
            <v>2003</v>
          </cell>
          <cell r="B1102">
            <v>6</v>
          </cell>
          <cell r="C1102">
            <v>1</v>
          </cell>
          <cell r="D1102">
            <v>174</v>
          </cell>
          <cell r="E1102">
            <v>2</v>
          </cell>
          <cell r="F1102" t="str">
            <v>TJS</v>
          </cell>
          <cell r="G1102">
            <v>30</v>
          </cell>
          <cell r="H1102">
            <v>600</v>
          </cell>
          <cell r="I1102">
            <v>1</v>
          </cell>
          <cell r="J1102" t="str">
            <v>ТАК ПСБ "Ориёнбанк"</v>
          </cell>
          <cell r="K1102">
            <v>18000</v>
          </cell>
          <cell r="L1102">
            <v>600</v>
          </cell>
          <cell r="M1102">
            <v>1</v>
          </cell>
          <cell r="N1102">
            <v>18000</v>
          </cell>
        </row>
        <row r="1103">
          <cell r="A1103">
            <v>2003</v>
          </cell>
          <cell r="B1103">
            <v>6</v>
          </cell>
          <cell r="C1103">
            <v>1</v>
          </cell>
          <cell r="D1103">
            <v>178</v>
          </cell>
          <cell r="E1103">
            <v>2</v>
          </cell>
          <cell r="F1103" t="str">
            <v>TJS</v>
          </cell>
          <cell r="G1103">
            <v>30</v>
          </cell>
          <cell r="H1103">
            <v>2500</v>
          </cell>
          <cell r="I1103">
            <v>1</v>
          </cell>
          <cell r="J1103" t="str">
            <v>ТАК ПСБ "Ориёнбанк"</v>
          </cell>
          <cell r="K1103">
            <v>75000</v>
          </cell>
          <cell r="L1103">
            <v>2500</v>
          </cell>
          <cell r="M1103">
            <v>1</v>
          </cell>
          <cell r="N1103">
            <v>75000</v>
          </cell>
        </row>
        <row r="1104">
          <cell r="A1104">
            <v>2003</v>
          </cell>
          <cell r="B1104">
            <v>6</v>
          </cell>
          <cell r="C1104">
            <v>1</v>
          </cell>
          <cell r="D1104">
            <v>173</v>
          </cell>
          <cell r="E1104">
            <v>2</v>
          </cell>
          <cell r="F1104" t="str">
            <v>TJS</v>
          </cell>
          <cell r="G1104">
            <v>30</v>
          </cell>
          <cell r="H1104">
            <v>2500</v>
          </cell>
          <cell r="I1104">
            <v>1</v>
          </cell>
          <cell r="J1104" t="str">
            <v>ТАК ПСБ "Ориёнбанк"</v>
          </cell>
          <cell r="K1104">
            <v>75000</v>
          </cell>
          <cell r="L1104">
            <v>2500</v>
          </cell>
          <cell r="M1104">
            <v>1</v>
          </cell>
          <cell r="N1104">
            <v>75000</v>
          </cell>
        </row>
        <row r="1105">
          <cell r="A1105">
            <v>2003</v>
          </cell>
          <cell r="B1105">
            <v>6</v>
          </cell>
          <cell r="C1105">
            <v>1</v>
          </cell>
          <cell r="D1105">
            <v>179</v>
          </cell>
          <cell r="E1105">
            <v>2</v>
          </cell>
          <cell r="F1105" t="str">
            <v>TJS</v>
          </cell>
          <cell r="G1105">
            <v>30</v>
          </cell>
          <cell r="H1105">
            <v>12500</v>
          </cell>
          <cell r="I1105">
            <v>5</v>
          </cell>
          <cell r="J1105" t="str">
            <v>ТАК ПСБ "Ориёнбанк"</v>
          </cell>
          <cell r="K1105">
            <v>375000</v>
          </cell>
          <cell r="L1105">
            <v>12500</v>
          </cell>
          <cell r="M1105">
            <v>1</v>
          </cell>
          <cell r="N1105">
            <v>375000</v>
          </cell>
        </row>
        <row r="1106">
          <cell r="A1106">
            <v>2003</v>
          </cell>
          <cell r="B1106">
            <v>6</v>
          </cell>
          <cell r="C1106">
            <v>1</v>
          </cell>
          <cell r="D1106">
            <v>176</v>
          </cell>
          <cell r="E1106">
            <v>2</v>
          </cell>
          <cell r="F1106" t="str">
            <v>TJS</v>
          </cell>
          <cell r="G1106">
            <v>30</v>
          </cell>
          <cell r="H1106">
            <v>2500</v>
          </cell>
          <cell r="I1106">
            <v>1</v>
          </cell>
          <cell r="J1106" t="str">
            <v>ТАК ПСБ "Ориёнбанк"</v>
          </cell>
          <cell r="K1106">
            <v>75000</v>
          </cell>
          <cell r="L1106">
            <v>2500</v>
          </cell>
          <cell r="M1106">
            <v>1</v>
          </cell>
          <cell r="N1106">
            <v>75000</v>
          </cell>
        </row>
        <row r="1107">
          <cell r="A1107">
            <v>2003</v>
          </cell>
          <cell r="B1107">
            <v>6</v>
          </cell>
          <cell r="C1107">
            <v>1</v>
          </cell>
          <cell r="D1107">
            <v>180</v>
          </cell>
          <cell r="E1107">
            <v>2</v>
          </cell>
          <cell r="F1107" t="str">
            <v>TJS</v>
          </cell>
          <cell r="G1107">
            <v>36</v>
          </cell>
          <cell r="H1107">
            <v>116100</v>
          </cell>
          <cell r="I1107">
            <v>30</v>
          </cell>
          <cell r="J1107" t="str">
            <v>ТАК ПСБ "Ориёнбанк"</v>
          </cell>
          <cell r="K1107">
            <v>4179600</v>
          </cell>
          <cell r="L1107">
            <v>116100</v>
          </cell>
          <cell r="M1107">
            <v>1</v>
          </cell>
          <cell r="N1107">
            <v>4179600</v>
          </cell>
        </row>
        <row r="1108">
          <cell r="A1108">
            <v>2003</v>
          </cell>
          <cell r="B1108">
            <v>6</v>
          </cell>
          <cell r="C1108">
            <v>1</v>
          </cell>
          <cell r="D1108">
            <v>180</v>
          </cell>
          <cell r="E1108">
            <v>1</v>
          </cell>
          <cell r="F1108" t="str">
            <v>TJS</v>
          </cell>
          <cell r="G1108">
            <v>36</v>
          </cell>
          <cell r="H1108">
            <v>2000</v>
          </cell>
          <cell r="I1108">
            <v>1</v>
          </cell>
          <cell r="J1108" t="str">
            <v>ТАК ПСБ "Ориёнбанк"</v>
          </cell>
          <cell r="K1108">
            <v>72000</v>
          </cell>
          <cell r="L1108">
            <v>2000</v>
          </cell>
          <cell r="M1108">
            <v>1</v>
          </cell>
          <cell r="N1108">
            <v>72000</v>
          </cell>
        </row>
        <row r="1109">
          <cell r="A1109">
            <v>2003</v>
          </cell>
          <cell r="B1109">
            <v>6</v>
          </cell>
          <cell r="C1109">
            <v>1</v>
          </cell>
          <cell r="D1109">
            <v>173</v>
          </cell>
          <cell r="E1109">
            <v>2</v>
          </cell>
          <cell r="F1109" t="str">
            <v>TJS</v>
          </cell>
          <cell r="G1109">
            <v>36</v>
          </cell>
          <cell r="H1109">
            <v>2500</v>
          </cell>
          <cell r="I1109">
            <v>1</v>
          </cell>
          <cell r="J1109" t="str">
            <v>ТАК ПСБ "Ориёнбанк"</v>
          </cell>
          <cell r="K1109">
            <v>90000</v>
          </cell>
          <cell r="L1109">
            <v>2500</v>
          </cell>
          <cell r="M1109">
            <v>1</v>
          </cell>
          <cell r="N1109">
            <v>90000</v>
          </cell>
        </row>
        <row r="1110">
          <cell r="A1110">
            <v>2003</v>
          </cell>
          <cell r="B1110">
            <v>6</v>
          </cell>
          <cell r="C1110">
            <v>1</v>
          </cell>
          <cell r="D1110">
            <v>270</v>
          </cell>
          <cell r="E1110">
            <v>1</v>
          </cell>
          <cell r="F1110" t="str">
            <v>TJS</v>
          </cell>
          <cell r="G1110">
            <v>36</v>
          </cell>
          <cell r="H1110">
            <v>2500</v>
          </cell>
          <cell r="I1110">
            <v>1</v>
          </cell>
          <cell r="J1110" t="str">
            <v>ТАК ПСБ "Ориёнбанк"</v>
          </cell>
          <cell r="K1110">
            <v>90000</v>
          </cell>
          <cell r="L1110">
            <v>2500</v>
          </cell>
          <cell r="M1110">
            <v>1</v>
          </cell>
          <cell r="N1110">
            <v>90000</v>
          </cell>
        </row>
        <row r="1111">
          <cell r="A1111">
            <v>2003</v>
          </cell>
          <cell r="B1111">
            <v>6</v>
          </cell>
          <cell r="C1111">
            <v>1</v>
          </cell>
          <cell r="D1111">
            <v>360</v>
          </cell>
          <cell r="E1111">
            <v>2</v>
          </cell>
          <cell r="F1111" t="str">
            <v>TJS</v>
          </cell>
          <cell r="G1111">
            <v>30</v>
          </cell>
          <cell r="H1111">
            <v>32500</v>
          </cell>
          <cell r="I1111">
            <v>7</v>
          </cell>
          <cell r="J1111" t="str">
            <v>ТАК ПСБ "Ориёнбанк"</v>
          </cell>
          <cell r="K1111">
            <v>975000</v>
          </cell>
          <cell r="L1111">
            <v>32500</v>
          </cell>
          <cell r="M1111">
            <v>1</v>
          </cell>
          <cell r="N1111">
            <v>975000</v>
          </cell>
        </row>
        <row r="1112">
          <cell r="A1112">
            <v>2003</v>
          </cell>
          <cell r="B1112">
            <v>6</v>
          </cell>
          <cell r="C1112">
            <v>1</v>
          </cell>
          <cell r="D1112">
            <v>185</v>
          </cell>
          <cell r="E1112">
            <v>1</v>
          </cell>
          <cell r="F1112" t="str">
            <v>TJS</v>
          </cell>
          <cell r="G1112">
            <v>28</v>
          </cell>
          <cell r="H1112">
            <v>309000</v>
          </cell>
          <cell r="I1112">
            <v>1</v>
          </cell>
          <cell r="J1112" t="str">
            <v>ТАК ПСБ "Ориёнбанк"</v>
          </cell>
          <cell r="K1112">
            <v>8652000</v>
          </cell>
          <cell r="L1112">
            <v>309000</v>
          </cell>
          <cell r="M1112">
            <v>1</v>
          </cell>
          <cell r="N1112">
            <v>8652000</v>
          </cell>
        </row>
        <row r="1113">
          <cell r="A1113">
            <v>2003</v>
          </cell>
          <cell r="B1113">
            <v>6</v>
          </cell>
          <cell r="C1113">
            <v>1</v>
          </cell>
          <cell r="D1113">
            <v>183</v>
          </cell>
          <cell r="E1113">
            <v>1</v>
          </cell>
          <cell r="F1113" t="str">
            <v>TJS</v>
          </cell>
          <cell r="G1113">
            <v>28</v>
          </cell>
          <cell r="H1113">
            <v>200000</v>
          </cell>
          <cell r="I1113">
            <v>1</v>
          </cell>
          <cell r="J1113" t="str">
            <v>ТАК ПСБ "Ориёнбанк"</v>
          </cell>
          <cell r="K1113">
            <v>5600000</v>
          </cell>
          <cell r="L1113">
            <v>200000</v>
          </cell>
          <cell r="M1113">
            <v>1</v>
          </cell>
          <cell r="N1113">
            <v>5600000</v>
          </cell>
        </row>
        <row r="1114">
          <cell r="A1114">
            <v>2003</v>
          </cell>
          <cell r="B1114">
            <v>6</v>
          </cell>
          <cell r="C1114">
            <v>1</v>
          </cell>
          <cell r="D1114">
            <v>183</v>
          </cell>
          <cell r="E1114">
            <v>1</v>
          </cell>
          <cell r="F1114" t="str">
            <v>TJS</v>
          </cell>
          <cell r="G1114">
            <v>25</v>
          </cell>
          <cell r="H1114">
            <v>450000</v>
          </cell>
          <cell r="I1114">
            <v>1</v>
          </cell>
          <cell r="J1114" t="str">
            <v>ТАК ПСБ "Ориёнбанк"</v>
          </cell>
          <cell r="K1114">
            <v>11250000</v>
          </cell>
          <cell r="L1114">
            <v>450000</v>
          </cell>
          <cell r="M1114">
            <v>1</v>
          </cell>
          <cell r="N1114">
            <v>11250000</v>
          </cell>
        </row>
        <row r="1115">
          <cell r="A1115">
            <v>2003</v>
          </cell>
          <cell r="B1115">
            <v>6</v>
          </cell>
          <cell r="C1115">
            <v>1</v>
          </cell>
          <cell r="D1115">
            <v>360</v>
          </cell>
          <cell r="E1115">
            <v>1</v>
          </cell>
          <cell r="F1115" t="str">
            <v>TJS</v>
          </cell>
          <cell r="G1115">
            <v>20</v>
          </cell>
          <cell r="H1115">
            <v>1000000</v>
          </cell>
          <cell r="I1115">
            <v>1</v>
          </cell>
          <cell r="J1115" t="str">
            <v>ТАК ПСБ "Ориёнбанк"</v>
          </cell>
          <cell r="K1115">
            <v>20000000</v>
          </cell>
          <cell r="L1115">
            <v>1000000</v>
          </cell>
          <cell r="M1115">
            <v>1</v>
          </cell>
          <cell r="N1115">
            <v>20000000</v>
          </cell>
        </row>
        <row r="1116">
          <cell r="A1116">
            <v>2003</v>
          </cell>
          <cell r="B1116">
            <v>6</v>
          </cell>
          <cell r="C1116">
            <v>1</v>
          </cell>
          <cell r="D1116">
            <v>359</v>
          </cell>
          <cell r="E1116">
            <v>1</v>
          </cell>
          <cell r="F1116" t="str">
            <v>TJS</v>
          </cell>
          <cell r="G1116">
            <v>36</v>
          </cell>
          <cell r="H1116">
            <v>65000</v>
          </cell>
          <cell r="I1116">
            <v>1</v>
          </cell>
          <cell r="J1116" t="str">
            <v>ТАК ПСБ "Ориёнбанк"</v>
          </cell>
          <cell r="K1116">
            <v>2340000</v>
          </cell>
          <cell r="L1116">
            <v>65000</v>
          </cell>
          <cell r="M1116">
            <v>1</v>
          </cell>
          <cell r="N1116">
            <v>2340000</v>
          </cell>
        </row>
        <row r="1117">
          <cell r="A1117">
            <v>2003</v>
          </cell>
          <cell r="B1117">
            <v>6</v>
          </cell>
          <cell r="C1117">
            <v>1</v>
          </cell>
          <cell r="D1117">
            <v>190</v>
          </cell>
          <cell r="E1117">
            <v>2</v>
          </cell>
          <cell r="F1117" t="str">
            <v>TJS</v>
          </cell>
          <cell r="G1117">
            <v>36</v>
          </cell>
          <cell r="H1117">
            <v>2500</v>
          </cell>
          <cell r="I1117">
            <v>1</v>
          </cell>
          <cell r="J1117" t="str">
            <v>ТАК ПСБ "Ориёнбанк"</v>
          </cell>
          <cell r="K1117">
            <v>90000</v>
          </cell>
          <cell r="L1117">
            <v>2500</v>
          </cell>
          <cell r="M1117">
            <v>1</v>
          </cell>
          <cell r="N1117">
            <v>90000</v>
          </cell>
        </row>
        <row r="1118">
          <cell r="A1118">
            <v>2003</v>
          </cell>
          <cell r="B1118">
            <v>6</v>
          </cell>
          <cell r="C1118">
            <v>1</v>
          </cell>
          <cell r="D1118">
            <v>193</v>
          </cell>
          <cell r="E1118">
            <v>2</v>
          </cell>
          <cell r="F1118" t="str">
            <v>TJS</v>
          </cell>
          <cell r="G1118">
            <v>36</v>
          </cell>
          <cell r="H1118">
            <v>5000</v>
          </cell>
          <cell r="I1118">
            <v>2</v>
          </cell>
          <cell r="J1118" t="str">
            <v>ТАК ПСБ "Ориёнбанк"</v>
          </cell>
          <cell r="K1118">
            <v>180000</v>
          </cell>
          <cell r="L1118">
            <v>5000</v>
          </cell>
          <cell r="M1118">
            <v>1</v>
          </cell>
          <cell r="N1118">
            <v>180000</v>
          </cell>
        </row>
        <row r="1119">
          <cell r="A1119">
            <v>2003</v>
          </cell>
          <cell r="B1119">
            <v>6</v>
          </cell>
          <cell r="C1119">
            <v>1</v>
          </cell>
          <cell r="D1119">
            <v>181</v>
          </cell>
          <cell r="E1119">
            <v>2</v>
          </cell>
          <cell r="F1119" t="str">
            <v>TJS</v>
          </cell>
          <cell r="G1119">
            <v>36</v>
          </cell>
          <cell r="H1119">
            <v>2500</v>
          </cell>
          <cell r="I1119">
            <v>1</v>
          </cell>
          <cell r="J1119" t="str">
            <v>ТАК ПСБ "Ориёнбанк"</v>
          </cell>
          <cell r="K1119">
            <v>90000</v>
          </cell>
          <cell r="L1119">
            <v>2500</v>
          </cell>
          <cell r="M1119">
            <v>1</v>
          </cell>
          <cell r="N1119">
            <v>90000</v>
          </cell>
        </row>
        <row r="1120">
          <cell r="A1120">
            <v>2003</v>
          </cell>
          <cell r="B1120">
            <v>6</v>
          </cell>
          <cell r="C1120">
            <v>1</v>
          </cell>
          <cell r="D1120">
            <v>179</v>
          </cell>
          <cell r="E1120">
            <v>2</v>
          </cell>
          <cell r="F1120" t="str">
            <v>TJS</v>
          </cell>
          <cell r="G1120">
            <v>36</v>
          </cell>
          <cell r="H1120">
            <v>6800</v>
          </cell>
          <cell r="I1120">
            <v>3</v>
          </cell>
          <cell r="J1120" t="str">
            <v>ТАК ПСБ "Ориёнбанк"</v>
          </cell>
          <cell r="K1120">
            <v>244800</v>
          </cell>
          <cell r="L1120">
            <v>6800</v>
          </cell>
          <cell r="M1120">
            <v>1</v>
          </cell>
          <cell r="N1120">
            <v>244800</v>
          </cell>
        </row>
        <row r="1121">
          <cell r="A1121">
            <v>2003</v>
          </cell>
          <cell r="B1121">
            <v>6</v>
          </cell>
          <cell r="C1121">
            <v>1</v>
          </cell>
          <cell r="D1121">
            <v>165</v>
          </cell>
          <cell r="E1121">
            <v>2</v>
          </cell>
          <cell r="F1121" t="str">
            <v>TJS</v>
          </cell>
          <cell r="G1121">
            <v>36</v>
          </cell>
          <cell r="H1121">
            <v>2500</v>
          </cell>
          <cell r="I1121">
            <v>1</v>
          </cell>
          <cell r="J1121" t="str">
            <v>ТАК ПСБ "Ориёнбанк"</v>
          </cell>
          <cell r="K1121">
            <v>90000</v>
          </cell>
          <cell r="L1121">
            <v>2500</v>
          </cell>
          <cell r="M1121">
            <v>1</v>
          </cell>
          <cell r="N1121">
            <v>90000</v>
          </cell>
        </row>
        <row r="1122">
          <cell r="A1122">
            <v>2003</v>
          </cell>
          <cell r="B1122">
            <v>6</v>
          </cell>
          <cell r="C1122">
            <v>1</v>
          </cell>
          <cell r="D1122">
            <v>168</v>
          </cell>
          <cell r="E1122">
            <v>2</v>
          </cell>
          <cell r="F1122" t="str">
            <v>TJS</v>
          </cell>
          <cell r="G1122">
            <v>36</v>
          </cell>
          <cell r="H1122">
            <v>2500</v>
          </cell>
          <cell r="I1122">
            <v>1</v>
          </cell>
          <cell r="J1122" t="str">
            <v>ТАК ПСБ "Ориёнбанк"</v>
          </cell>
          <cell r="K1122">
            <v>90000</v>
          </cell>
          <cell r="L1122">
            <v>2500</v>
          </cell>
          <cell r="M1122">
            <v>1</v>
          </cell>
          <cell r="N1122">
            <v>90000</v>
          </cell>
        </row>
        <row r="1123">
          <cell r="A1123">
            <v>2003</v>
          </cell>
          <cell r="B1123">
            <v>6</v>
          </cell>
          <cell r="C1123">
            <v>1</v>
          </cell>
          <cell r="D1123">
            <v>177</v>
          </cell>
          <cell r="E1123">
            <v>2</v>
          </cell>
          <cell r="F1123" t="str">
            <v>TJS</v>
          </cell>
          <cell r="G1123">
            <v>36</v>
          </cell>
          <cell r="H1123">
            <v>2500</v>
          </cell>
          <cell r="I1123">
            <v>1</v>
          </cell>
          <cell r="J1123" t="str">
            <v>ТАК ПСБ "Ориёнбанк"</v>
          </cell>
          <cell r="K1123">
            <v>90000</v>
          </cell>
          <cell r="L1123">
            <v>2500</v>
          </cell>
          <cell r="M1123">
            <v>1</v>
          </cell>
          <cell r="N1123">
            <v>90000</v>
          </cell>
        </row>
        <row r="1124">
          <cell r="A1124">
            <v>2003</v>
          </cell>
          <cell r="B1124">
            <v>6</v>
          </cell>
          <cell r="C1124">
            <v>1</v>
          </cell>
          <cell r="D1124">
            <v>193</v>
          </cell>
          <cell r="E1124">
            <v>2</v>
          </cell>
          <cell r="F1124" t="str">
            <v>TJS</v>
          </cell>
          <cell r="G1124">
            <v>36</v>
          </cell>
          <cell r="H1124">
            <v>2500</v>
          </cell>
          <cell r="I1124">
            <v>1</v>
          </cell>
          <cell r="J1124" t="str">
            <v>ТАК ПСБ "Ориёнбанк"</v>
          </cell>
          <cell r="K1124">
            <v>90000</v>
          </cell>
          <cell r="L1124">
            <v>2500</v>
          </cell>
          <cell r="M1124">
            <v>1</v>
          </cell>
          <cell r="N1124">
            <v>90000</v>
          </cell>
        </row>
        <row r="1125">
          <cell r="A1125">
            <v>2003</v>
          </cell>
          <cell r="B1125">
            <v>6</v>
          </cell>
          <cell r="C1125">
            <v>1</v>
          </cell>
          <cell r="D1125">
            <v>180</v>
          </cell>
          <cell r="E1125">
            <v>2</v>
          </cell>
          <cell r="F1125" t="str">
            <v>TJS</v>
          </cell>
          <cell r="G1125">
            <v>30</v>
          </cell>
          <cell r="H1125">
            <v>6835</v>
          </cell>
          <cell r="I1125">
            <v>3</v>
          </cell>
          <cell r="J1125" t="str">
            <v>ТАК ПСБ "Ориёнбанк"</v>
          </cell>
          <cell r="K1125">
            <v>205050</v>
          </cell>
          <cell r="L1125">
            <v>6835</v>
          </cell>
          <cell r="M1125">
            <v>1</v>
          </cell>
          <cell r="N1125">
            <v>205050</v>
          </cell>
        </row>
        <row r="1126">
          <cell r="A1126">
            <v>2003</v>
          </cell>
          <cell r="B1126">
            <v>6</v>
          </cell>
          <cell r="C1126">
            <v>1</v>
          </cell>
          <cell r="D1126">
            <v>269</v>
          </cell>
          <cell r="E1126">
            <v>2</v>
          </cell>
          <cell r="F1126" t="str">
            <v>TJS</v>
          </cell>
          <cell r="G1126">
            <v>28</v>
          </cell>
          <cell r="H1126">
            <v>20000</v>
          </cell>
          <cell r="I1126">
            <v>1</v>
          </cell>
          <cell r="J1126" t="str">
            <v>ТАК ПСБ "Ориёнбанк"</v>
          </cell>
          <cell r="K1126">
            <v>560000</v>
          </cell>
          <cell r="L1126">
            <v>20000</v>
          </cell>
          <cell r="M1126">
            <v>1</v>
          </cell>
          <cell r="N1126">
            <v>560000</v>
          </cell>
        </row>
        <row r="1127">
          <cell r="A1127">
            <v>2003</v>
          </cell>
          <cell r="B1127">
            <v>6</v>
          </cell>
          <cell r="C1127">
            <v>1</v>
          </cell>
          <cell r="D1127">
            <v>292</v>
          </cell>
          <cell r="E1127">
            <v>2</v>
          </cell>
          <cell r="F1127" t="str">
            <v>TJS</v>
          </cell>
          <cell r="G1127">
            <v>26</v>
          </cell>
          <cell r="H1127">
            <v>14900</v>
          </cell>
          <cell r="I1127">
            <v>1</v>
          </cell>
          <cell r="J1127" t="str">
            <v>ТАК ПСБ "Ориёнбанк"</v>
          </cell>
          <cell r="K1127">
            <v>387400</v>
          </cell>
          <cell r="L1127">
            <v>14900</v>
          </cell>
          <cell r="M1127">
            <v>1</v>
          </cell>
          <cell r="N1127">
            <v>387400</v>
          </cell>
        </row>
        <row r="1128">
          <cell r="A1128">
            <v>2003</v>
          </cell>
          <cell r="B1128">
            <v>6</v>
          </cell>
          <cell r="C1128">
            <v>1</v>
          </cell>
          <cell r="D1128">
            <v>352</v>
          </cell>
          <cell r="E1128">
            <v>2</v>
          </cell>
          <cell r="F1128" t="str">
            <v>TJS</v>
          </cell>
          <cell r="G1128">
            <v>26</v>
          </cell>
          <cell r="H1128">
            <v>16000</v>
          </cell>
          <cell r="I1128">
            <v>1</v>
          </cell>
          <cell r="J1128" t="str">
            <v>ТАК ПСБ "Ориёнбанк"</v>
          </cell>
          <cell r="K1128">
            <v>416000</v>
          </cell>
          <cell r="L1128">
            <v>16000</v>
          </cell>
          <cell r="M1128">
            <v>1</v>
          </cell>
          <cell r="N1128">
            <v>416000</v>
          </cell>
        </row>
        <row r="1129">
          <cell r="A1129">
            <v>2003</v>
          </cell>
          <cell r="B1129">
            <v>6</v>
          </cell>
          <cell r="C1129">
            <v>1</v>
          </cell>
          <cell r="D1129">
            <v>360</v>
          </cell>
          <cell r="E1129">
            <v>2</v>
          </cell>
          <cell r="F1129" t="str">
            <v>TJS</v>
          </cell>
          <cell r="G1129">
            <v>20</v>
          </cell>
          <cell r="H1129">
            <v>1800</v>
          </cell>
          <cell r="I1129">
            <v>1</v>
          </cell>
          <cell r="J1129" t="str">
            <v>ТАК ПСБ "Ориёнбанк"</v>
          </cell>
          <cell r="K1129">
            <v>36000</v>
          </cell>
          <cell r="L1129">
            <v>1800</v>
          </cell>
          <cell r="M1129">
            <v>1</v>
          </cell>
          <cell r="N1129">
            <v>36000</v>
          </cell>
        </row>
        <row r="1130">
          <cell r="A1130">
            <v>2003</v>
          </cell>
          <cell r="B1130">
            <v>6</v>
          </cell>
          <cell r="C1130">
            <v>1</v>
          </cell>
          <cell r="D1130">
            <v>330</v>
          </cell>
          <cell r="E1130">
            <v>1</v>
          </cell>
          <cell r="F1130" t="str">
            <v>TJS</v>
          </cell>
          <cell r="G1130">
            <v>28</v>
          </cell>
          <cell r="H1130">
            <v>6500</v>
          </cell>
          <cell r="I1130">
            <v>1</v>
          </cell>
          <cell r="J1130" t="str">
            <v>ТАК ПСБ "Ориёнбанк"</v>
          </cell>
          <cell r="K1130">
            <v>182000</v>
          </cell>
          <cell r="L1130">
            <v>6500</v>
          </cell>
          <cell r="M1130">
            <v>1</v>
          </cell>
          <cell r="N1130">
            <v>182000</v>
          </cell>
        </row>
        <row r="1131">
          <cell r="A1131">
            <v>2003</v>
          </cell>
          <cell r="B1131">
            <v>6</v>
          </cell>
          <cell r="C1131">
            <v>5</v>
          </cell>
          <cell r="D1131">
            <v>47</v>
          </cell>
          <cell r="E1131">
            <v>2</v>
          </cell>
          <cell r="F1131" t="str">
            <v>TJS</v>
          </cell>
          <cell r="G1131">
            <v>24</v>
          </cell>
          <cell r="H1131">
            <v>17000</v>
          </cell>
          <cell r="I1131">
            <v>1</v>
          </cell>
          <cell r="J1131" t="str">
            <v>ТАК ПСБ "Ориёнбанк"</v>
          </cell>
          <cell r="K1131">
            <v>408000</v>
          </cell>
          <cell r="L1131">
            <v>17000</v>
          </cell>
          <cell r="M1131">
            <v>1</v>
          </cell>
          <cell r="N1131">
            <v>408000</v>
          </cell>
        </row>
        <row r="1132">
          <cell r="A1132">
            <v>2003</v>
          </cell>
          <cell r="B1132">
            <v>6</v>
          </cell>
          <cell r="C1132">
            <v>5</v>
          </cell>
          <cell r="D1132">
            <v>35</v>
          </cell>
          <cell r="E1132">
            <v>1</v>
          </cell>
          <cell r="F1132" t="str">
            <v>TJS</v>
          </cell>
          <cell r="G1132">
            <v>28</v>
          </cell>
          <cell r="H1132">
            <v>250000</v>
          </cell>
          <cell r="I1132">
            <v>6</v>
          </cell>
          <cell r="J1132" t="str">
            <v>ТАК ПСБ "Ориёнбанк"</v>
          </cell>
          <cell r="K1132">
            <v>7000000</v>
          </cell>
          <cell r="L1132">
            <v>250000</v>
          </cell>
          <cell r="M1132">
            <v>1</v>
          </cell>
          <cell r="N1132">
            <v>7000000</v>
          </cell>
        </row>
        <row r="1133">
          <cell r="A1133">
            <v>2003</v>
          </cell>
          <cell r="B1133">
            <v>6</v>
          </cell>
          <cell r="C1133">
            <v>1</v>
          </cell>
          <cell r="D1133">
            <v>180</v>
          </cell>
          <cell r="E1133">
            <v>2</v>
          </cell>
          <cell r="F1133" t="str">
            <v>TJS</v>
          </cell>
          <cell r="G1133">
            <v>30</v>
          </cell>
          <cell r="H1133">
            <v>2500</v>
          </cell>
          <cell r="I1133">
            <v>1</v>
          </cell>
          <cell r="J1133" t="str">
            <v>ТАК ПСБ "Ориёнбанк"</v>
          </cell>
          <cell r="K1133">
            <v>75000</v>
          </cell>
          <cell r="L1133">
            <v>2500</v>
          </cell>
          <cell r="M1133">
            <v>1</v>
          </cell>
          <cell r="N1133">
            <v>75000</v>
          </cell>
        </row>
        <row r="1134">
          <cell r="A1134">
            <v>2003</v>
          </cell>
          <cell r="B1134">
            <v>6</v>
          </cell>
          <cell r="C1134">
            <v>1</v>
          </cell>
          <cell r="D1134">
            <v>180</v>
          </cell>
          <cell r="E1134">
            <v>2</v>
          </cell>
          <cell r="F1134" t="str">
            <v>TJS</v>
          </cell>
          <cell r="G1134">
            <v>28</v>
          </cell>
          <cell r="H1134">
            <v>2500</v>
          </cell>
          <cell r="I1134">
            <v>1</v>
          </cell>
          <cell r="J1134" t="str">
            <v>ТАК ПСБ "Ориёнбанк"</v>
          </cell>
          <cell r="K1134">
            <v>70000</v>
          </cell>
          <cell r="L1134">
            <v>2500</v>
          </cell>
          <cell r="M1134">
            <v>1</v>
          </cell>
          <cell r="N1134">
            <v>70000</v>
          </cell>
        </row>
        <row r="1135">
          <cell r="A1135">
            <v>2003</v>
          </cell>
          <cell r="B1135">
            <v>6</v>
          </cell>
          <cell r="C1135">
            <v>1</v>
          </cell>
          <cell r="D1135">
            <v>183</v>
          </cell>
          <cell r="E1135">
            <v>2</v>
          </cell>
          <cell r="F1135" t="str">
            <v>TJS</v>
          </cell>
          <cell r="G1135">
            <v>42</v>
          </cell>
          <cell r="H1135">
            <v>2500</v>
          </cell>
          <cell r="I1135">
            <v>1</v>
          </cell>
          <cell r="J1135" t="str">
            <v>ТАК ПСБ "Ориёнбанк"</v>
          </cell>
          <cell r="K1135">
            <v>105000</v>
          </cell>
          <cell r="L1135">
            <v>2500</v>
          </cell>
          <cell r="M1135">
            <v>1</v>
          </cell>
          <cell r="N1135">
            <v>105000</v>
          </cell>
        </row>
        <row r="1136">
          <cell r="A1136">
            <v>2003</v>
          </cell>
          <cell r="B1136">
            <v>6</v>
          </cell>
          <cell r="C1136">
            <v>1</v>
          </cell>
          <cell r="D1136">
            <v>177</v>
          </cell>
          <cell r="E1136">
            <v>2</v>
          </cell>
          <cell r="F1136" t="str">
            <v>TJS</v>
          </cell>
          <cell r="G1136">
            <v>36</v>
          </cell>
          <cell r="H1136">
            <v>2400</v>
          </cell>
          <cell r="I1136">
            <v>1</v>
          </cell>
          <cell r="J1136" t="str">
            <v>ТАК ПСБ "Ориёнбанк"</v>
          </cell>
          <cell r="K1136">
            <v>86400</v>
          </cell>
          <cell r="L1136">
            <v>2400</v>
          </cell>
          <cell r="M1136">
            <v>1</v>
          </cell>
          <cell r="N1136">
            <v>86400</v>
          </cell>
        </row>
        <row r="1137">
          <cell r="A1137">
            <v>2003</v>
          </cell>
          <cell r="B1137">
            <v>6</v>
          </cell>
          <cell r="C1137">
            <v>5</v>
          </cell>
          <cell r="D1137">
            <v>90</v>
          </cell>
          <cell r="E1137">
            <v>2</v>
          </cell>
          <cell r="F1137" t="str">
            <v>TJS</v>
          </cell>
          <cell r="G1137">
            <v>33</v>
          </cell>
          <cell r="H1137">
            <v>2500</v>
          </cell>
          <cell r="I1137">
            <v>1</v>
          </cell>
          <cell r="J1137" t="str">
            <v>ТАК ПСБ "Ориёнбанк"</v>
          </cell>
          <cell r="K1137">
            <v>82500</v>
          </cell>
          <cell r="L1137">
            <v>2500</v>
          </cell>
          <cell r="M1137">
            <v>1</v>
          </cell>
          <cell r="N1137">
            <v>82500</v>
          </cell>
        </row>
        <row r="1138">
          <cell r="A1138">
            <v>2003</v>
          </cell>
          <cell r="B1138">
            <v>6</v>
          </cell>
          <cell r="C1138">
            <v>1</v>
          </cell>
          <cell r="D1138">
            <v>180</v>
          </cell>
          <cell r="E1138">
            <v>2</v>
          </cell>
          <cell r="F1138" t="str">
            <v>TJS</v>
          </cell>
          <cell r="G1138">
            <v>28</v>
          </cell>
          <cell r="H1138">
            <v>7500</v>
          </cell>
          <cell r="I1138">
            <v>3</v>
          </cell>
          <cell r="J1138" t="str">
            <v>ТАК ПСБ "Ориёнбанк"</v>
          </cell>
          <cell r="K1138">
            <v>210000</v>
          </cell>
          <cell r="L1138">
            <v>7500</v>
          </cell>
          <cell r="M1138">
            <v>1</v>
          </cell>
          <cell r="N1138">
            <v>210000</v>
          </cell>
        </row>
        <row r="1139">
          <cell r="A1139">
            <v>2003</v>
          </cell>
          <cell r="B1139">
            <v>6</v>
          </cell>
          <cell r="C1139">
            <v>1</v>
          </cell>
          <cell r="D1139">
            <v>360</v>
          </cell>
          <cell r="E1139">
            <v>1</v>
          </cell>
          <cell r="F1139" t="str">
            <v>TJS</v>
          </cell>
          <cell r="G1139">
            <v>36</v>
          </cell>
          <cell r="H1139">
            <v>15000</v>
          </cell>
          <cell r="I1139">
            <v>3</v>
          </cell>
          <cell r="J1139" t="str">
            <v>ТАК ПСБ "Ориёнбанк"</v>
          </cell>
          <cell r="K1139">
            <v>540000</v>
          </cell>
          <cell r="L1139">
            <v>15000</v>
          </cell>
          <cell r="M1139">
            <v>1</v>
          </cell>
          <cell r="N1139">
            <v>540000</v>
          </cell>
        </row>
        <row r="1140">
          <cell r="A1140">
            <v>2003</v>
          </cell>
          <cell r="B1140">
            <v>6</v>
          </cell>
          <cell r="C1140">
            <v>1</v>
          </cell>
          <cell r="D1140">
            <v>359</v>
          </cell>
          <cell r="E1140">
            <v>2</v>
          </cell>
          <cell r="F1140" t="str">
            <v>TJS</v>
          </cell>
          <cell r="G1140">
            <v>28</v>
          </cell>
          <cell r="H1140">
            <v>5000</v>
          </cell>
          <cell r="I1140">
            <v>2</v>
          </cell>
          <cell r="J1140" t="str">
            <v>ТАК ПСБ "Ориёнбанк"</v>
          </cell>
          <cell r="K1140">
            <v>140000</v>
          </cell>
          <cell r="L1140">
            <v>5000</v>
          </cell>
          <cell r="M1140">
            <v>1</v>
          </cell>
          <cell r="N1140">
            <v>140000</v>
          </cell>
        </row>
        <row r="1141">
          <cell r="A1141">
            <v>2003</v>
          </cell>
          <cell r="B1141">
            <v>6</v>
          </cell>
          <cell r="C1141">
            <v>1</v>
          </cell>
          <cell r="D1141">
            <v>258</v>
          </cell>
          <cell r="E1141">
            <v>2</v>
          </cell>
          <cell r="F1141" t="str">
            <v>TJS</v>
          </cell>
          <cell r="G1141">
            <v>30</v>
          </cell>
          <cell r="H1141">
            <v>2500</v>
          </cell>
          <cell r="I1141">
            <v>1</v>
          </cell>
          <cell r="J1141" t="str">
            <v>ТАК ПСБ "Ориёнбанк"</v>
          </cell>
          <cell r="K1141">
            <v>75000</v>
          </cell>
          <cell r="L1141">
            <v>2500</v>
          </cell>
          <cell r="M1141">
            <v>1</v>
          </cell>
          <cell r="N1141">
            <v>75000</v>
          </cell>
        </row>
        <row r="1142">
          <cell r="A1142">
            <v>2003</v>
          </cell>
          <cell r="B1142">
            <v>6</v>
          </cell>
          <cell r="C1142">
            <v>1</v>
          </cell>
          <cell r="D1142">
            <v>241</v>
          </cell>
          <cell r="E1142">
            <v>2</v>
          </cell>
          <cell r="F1142" t="str">
            <v>TJS</v>
          </cell>
          <cell r="G1142">
            <v>30</v>
          </cell>
          <cell r="H1142">
            <v>2500</v>
          </cell>
          <cell r="I1142">
            <v>1</v>
          </cell>
          <cell r="J1142" t="str">
            <v>ТАК ПСБ "Ориёнбанк"</v>
          </cell>
          <cell r="K1142">
            <v>75000</v>
          </cell>
          <cell r="L1142">
            <v>2500</v>
          </cell>
          <cell r="M1142">
            <v>1</v>
          </cell>
          <cell r="N1142">
            <v>75000</v>
          </cell>
        </row>
        <row r="1143">
          <cell r="A1143">
            <v>2003</v>
          </cell>
          <cell r="B1143">
            <v>6</v>
          </cell>
          <cell r="C1143">
            <v>1</v>
          </cell>
          <cell r="D1143">
            <v>33</v>
          </cell>
          <cell r="E1143">
            <v>2</v>
          </cell>
          <cell r="F1143" t="str">
            <v>TJS</v>
          </cell>
          <cell r="G1143">
            <v>30</v>
          </cell>
          <cell r="H1143">
            <v>1000</v>
          </cell>
          <cell r="I1143">
            <v>1</v>
          </cell>
          <cell r="J1143" t="str">
            <v>ТАК ПСБ "Ориёнбанк"</v>
          </cell>
          <cell r="K1143">
            <v>42000</v>
          </cell>
          <cell r="L1143">
            <v>1000</v>
          </cell>
          <cell r="M1143">
            <v>1</v>
          </cell>
          <cell r="N1143">
            <v>42000</v>
          </cell>
        </row>
        <row r="1144">
          <cell r="A1144">
            <v>2003</v>
          </cell>
          <cell r="B1144">
            <v>6</v>
          </cell>
          <cell r="C1144">
            <v>1</v>
          </cell>
          <cell r="D1144">
            <v>210</v>
          </cell>
          <cell r="E1144">
            <v>2</v>
          </cell>
          <cell r="F1144" t="str">
            <v>TJS</v>
          </cell>
          <cell r="G1144">
            <v>42</v>
          </cell>
          <cell r="H1144">
            <v>10800</v>
          </cell>
          <cell r="I1144">
            <v>4</v>
          </cell>
          <cell r="J1144" t="str">
            <v>ТАК ПСБ "Ориёнбанк"</v>
          </cell>
          <cell r="K1144">
            <v>453600</v>
          </cell>
          <cell r="L1144">
            <v>10800</v>
          </cell>
          <cell r="M1144">
            <v>1</v>
          </cell>
          <cell r="N1144">
            <v>453600</v>
          </cell>
        </row>
        <row r="1145">
          <cell r="A1145">
            <v>2003</v>
          </cell>
          <cell r="B1145">
            <v>6</v>
          </cell>
          <cell r="C1145">
            <v>1</v>
          </cell>
          <cell r="D1145">
            <v>240</v>
          </cell>
          <cell r="E1145">
            <v>2</v>
          </cell>
          <cell r="F1145" t="str">
            <v>TJS</v>
          </cell>
          <cell r="G1145">
            <v>42</v>
          </cell>
          <cell r="H1145">
            <v>11000</v>
          </cell>
          <cell r="I1145">
            <v>3</v>
          </cell>
          <cell r="J1145" t="str">
            <v>ТАК ПСБ "Ориёнбанк"</v>
          </cell>
          <cell r="K1145">
            <v>462000</v>
          </cell>
          <cell r="L1145">
            <v>11000</v>
          </cell>
          <cell r="M1145">
            <v>1</v>
          </cell>
          <cell r="N1145">
            <v>462000</v>
          </cell>
        </row>
        <row r="1146">
          <cell r="A1146">
            <v>2003</v>
          </cell>
          <cell r="B1146">
            <v>6</v>
          </cell>
          <cell r="C1146">
            <v>1</v>
          </cell>
          <cell r="D1146">
            <v>180</v>
          </cell>
          <cell r="E1146">
            <v>2</v>
          </cell>
          <cell r="F1146" t="str">
            <v>TJS</v>
          </cell>
          <cell r="G1146">
            <v>42</v>
          </cell>
          <cell r="H1146">
            <v>1000</v>
          </cell>
          <cell r="I1146">
            <v>1</v>
          </cell>
          <cell r="J1146" t="str">
            <v>ТАК ПСБ "Ориёнбанк"</v>
          </cell>
          <cell r="K1146">
            <v>40000</v>
          </cell>
          <cell r="L1146">
            <v>1000</v>
          </cell>
          <cell r="M1146">
            <v>1</v>
          </cell>
          <cell r="N1146">
            <v>40000</v>
          </cell>
        </row>
        <row r="1147">
          <cell r="A1147">
            <v>2003</v>
          </cell>
          <cell r="B1147">
            <v>6</v>
          </cell>
          <cell r="C1147">
            <v>1</v>
          </cell>
          <cell r="D1147">
            <v>210</v>
          </cell>
          <cell r="E1147">
            <v>2</v>
          </cell>
          <cell r="F1147" t="str">
            <v>TJS</v>
          </cell>
          <cell r="G1147">
            <v>40</v>
          </cell>
          <cell r="H1147">
            <v>3500</v>
          </cell>
          <cell r="I1147">
            <v>1</v>
          </cell>
          <cell r="J1147" t="str">
            <v>ТАК ПСБ "Ориёнбанк"</v>
          </cell>
          <cell r="K1147">
            <v>126000</v>
          </cell>
          <cell r="L1147">
            <v>3500</v>
          </cell>
          <cell r="M1147">
            <v>1</v>
          </cell>
          <cell r="N1147">
            <v>126000</v>
          </cell>
        </row>
        <row r="1148">
          <cell r="A1148">
            <v>2003</v>
          </cell>
          <cell r="B1148">
            <v>6</v>
          </cell>
          <cell r="C1148">
            <v>1</v>
          </cell>
          <cell r="D1148">
            <v>90</v>
          </cell>
          <cell r="E1148">
            <v>1</v>
          </cell>
          <cell r="F1148" t="str">
            <v>TJS</v>
          </cell>
          <cell r="G1148">
            <v>36</v>
          </cell>
          <cell r="H1148">
            <v>2500</v>
          </cell>
          <cell r="I1148">
            <v>1</v>
          </cell>
          <cell r="J1148" t="str">
            <v>ТАК ПСБ "Ориёнбанк"</v>
          </cell>
          <cell r="K1148">
            <v>90000</v>
          </cell>
          <cell r="L1148">
            <v>2500</v>
          </cell>
          <cell r="M1148">
            <v>1</v>
          </cell>
          <cell r="N1148">
            <v>90000</v>
          </cell>
        </row>
        <row r="1149">
          <cell r="A1149">
            <v>2003</v>
          </cell>
          <cell r="B1149">
            <v>6</v>
          </cell>
          <cell r="C1149">
            <v>1</v>
          </cell>
          <cell r="D1149">
            <v>201</v>
          </cell>
          <cell r="E1149">
            <v>2</v>
          </cell>
          <cell r="F1149" t="str">
            <v>TJS</v>
          </cell>
          <cell r="G1149">
            <v>36</v>
          </cell>
          <cell r="H1149">
            <v>2500</v>
          </cell>
          <cell r="I1149">
            <v>1</v>
          </cell>
          <cell r="J1149" t="str">
            <v>ТАК ПСБ "Ориёнбанк"</v>
          </cell>
          <cell r="K1149">
            <v>90000</v>
          </cell>
          <cell r="L1149">
            <v>2500</v>
          </cell>
          <cell r="M1149">
            <v>1</v>
          </cell>
          <cell r="N1149">
            <v>90000</v>
          </cell>
        </row>
        <row r="1150">
          <cell r="A1150">
            <v>2003</v>
          </cell>
          <cell r="B1150">
            <v>6</v>
          </cell>
          <cell r="C1150">
            <v>1</v>
          </cell>
          <cell r="D1150">
            <v>90</v>
          </cell>
          <cell r="E1150">
            <v>2</v>
          </cell>
          <cell r="F1150" t="str">
            <v>TJS</v>
          </cell>
          <cell r="G1150">
            <v>36</v>
          </cell>
          <cell r="H1150">
            <v>700</v>
          </cell>
          <cell r="I1150">
            <v>1</v>
          </cell>
          <cell r="J1150" t="str">
            <v>ТАК ПСБ "Ориёнбанк"</v>
          </cell>
          <cell r="K1150">
            <v>25200</v>
          </cell>
          <cell r="L1150">
            <v>700</v>
          </cell>
          <cell r="M1150">
            <v>1</v>
          </cell>
          <cell r="N1150">
            <v>25200</v>
          </cell>
        </row>
        <row r="1151">
          <cell r="A1151">
            <v>2003</v>
          </cell>
          <cell r="B1151">
            <v>6</v>
          </cell>
          <cell r="C1151">
            <v>1</v>
          </cell>
          <cell r="D1151">
            <v>240</v>
          </cell>
          <cell r="E1151">
            <v>2</v>
          </cell>
          <cell r="F1151" t="str">
            <v>TJS</v>
          </cell>
          <cell r="G1151">
            <v>36</v>
          </cell>
          <cell r="H1151">
            <v>12000</v>
          </cell>
          <cell r="I1151">
            <v>5</v>
          </cell>
          <cell r="J1151" t="str">
            <v>ТАК ПСБ "Ориёнбанк"</v>
          </cell>
          <cell r="K1151">
            <v>432000</v>
          </cell>
          <cell r="L1151">
            <v>12000</v>
          </cell>
          <cell r="M1151">
            <v>1</v>
          </cell>
          <cell r="N1151">
            <v>432000</v>
          </cell>
        </row>
        <row r="1152">
          <cell r="A1152">
            <v>2003</v>
          </cell>
          <cell r="B1152">
            <v>6</v>
          </cell>
          <cell r="C1152">
            <v>1</v>
          </cell>
          <cell r="D1152">
            <v>210</v>
          </cell>
          <cell r="E1152">
            <v>2</v>
          </cell>
          <cell r="F1152" t="str">
            <v>TJS</v>
          </cell>
          <cell r="G1152">
            <v>36</v>
          </cell>
          <cell r="H1152">
            <v>5000</v>
          </cell>
          <cell r="I1152">
            <v>2</v>
          </cell>
          <cell r="J1152" t="str">
            <v>ТАК ПСБ "Ориёнбанк"</v>
          </cell>
          <cell r="K1152">
            <v>150000</v>
          </cell>
          <cell r="L1152">
            <v>5000</v>
          </cell>
          <cell r="M1152">
            <v>1</v>
          </cell>
          <cell r="N1152">
            <v>150000</v>
          </cell>
        </row>
        <row r="1153">
          <cell r="A1153">
            <v>2003</v>
          </cell>
          <cell r="B1153">
            <v>6</v>
          </cell>
          <cell r="C1153">
            <v>1</v>
          </cell>
          <cell r="D1153">
            <v>240</v>
          </cell>
          <cell r="E1153">
            <v>2</v>
          </cell>
          <cell r="F1153" t="str">
            <v>TJS</v>
          </cell>
          <cell r="G1153">
            <v>30</v>
          </cell>
          <cell r="H1153">
            <v>3500</v>
          </cell>
          <cell r="I1153">
            <v>2</v>
          </cell>
          <cell r="J1153" t="str">
            <v>ТАК ПСБ "Ориёнбанк"</v>
          </cell>
          <cell r="K1153">
            <v>105000</v>
          </cell>
          <cell r="L1153">
            <v>3500</v>
          </cell>
          <cell r="M1153">
            <v>1</v>
          </cell>
          <cell r="N1153">
            <v>105000</v>
          </cell>
        </row>
        <row r="1154">
          <cell r="A1154">
            <v>2003</v>
          </cell>
          <cell r="B1154">
            <v>6</v>
          </cell>
          <cell r="C1154">
            <v>1</v>
          </cell>
          <cell r="D1154">
            <v>210</v>
          </cell>
          <cell r="E1154">
            <v>2</v>
          </cell>
          <cell r="F1154" t="str">
            <v>TJS</v>
          </cell>
          <cell r="G1154">
            <v>30</v>
          </cell>
          <cell r="H1154">
            <v>1000</v>
          </cell>
          <cell r="I1154">
            <v>1</v>
          </cell>
          <cell r="J1154" t="str">
            <v>ТАК ПСБ "Ориёнбанк"</v>
          </cell>
          <cell r="K1154">
            <v>36000</v>
          </cell>
          <cell r="L1154">
            <v>1000</v>
          </cell>
          <cell r="M1154">
            <v>1</v>
          </cell>
          <cell r="N1154">
            <v>36000</v>
          </cell>
        </row>
        <row r="1155">
          <cell r="A1155">
            <v>2003</v>
          </cell>
          <cell r="B1155">
            <v>6</v>
          </cell>
          <cell r="C1155">
            <v>1</v>
          </cell>
          <cell r="D1155">
            <v>120</v>
          </cell>
          <cell r="E1155">
            <v>2</v>
          </cell>
          <cell r="F1155" t="str">
            <v>TJS</v>
          </cell>
          <cell r="G1155">
            <v>36</v>
          </cell>
          <cell r="H1155">
            <v>150</v>
          </cell>
          <cell r="I1155">
            <v>1</v>
          </cell>
          <cell r="J1155" t="str">
            <v>ТАК ПСБ "Ориёнбанк"</v>
          </cell>
          <cell r="K1155">
            <v>5400</v>
          </cell>
          <cell r="L1155">
            <v>150</v>
          </cell>
          <cell r="M1155">
            <v>1</v>
          </cell>
          <cell r="N1155">
            <v>5400</v>
          </cell>
        </row>
        <row r="1156">
          <cell r="A1156">
            <v>2003</v>
          </cell>
          <cell r="B1156">
            <v>6</v>
          </cell>
          <cell r="C1156">
            <v>1</v>
          </cell>
          <cell r="D1156">
            <v>195</v>
          </cell>
          <cell r="E1156">
            <v>2</v>
          </cell>
          <cell r="F1156" t="str">
            <v>TJS</v>
          </cell>
          <cell r="G1156">
            <v>36</v>
          </cell>
          <cell r="H1156">
            <v>500</v>
          </cell>
          <cell r="I1156">
            <v>1</v>
          </cell>
          <cell r="J1156" t="str">
            <v>ТАК ПСБ "Ориёнбанк"</v>
          </cell>
          <cell r="K1156">
            <v>18000</v>
          </cell>
          <cell r="L1156">
            <v>500</v>
          </cell>
          <cell r="M1156">
            <v>1</v>
          </cell>
          <cell r="N1156">
            <v>18000</v>
          </cell>
        </row>
        <row r="1157">
          <cell r="A1157">
            <v>2003</v>
          </cell>
          <cell r="B1157">
            <v>6</v>
          </cell>
          <cell r="C1157">
            <v>1</v>
          </cell>
          <cell r="D1157">
            <v>210</v>
          </cell>
          <cell r="E1157">
            <v>1</v>
          </cell>
          <cell r="F1157" t="str">
            <v>TJS</v>
          </cell>
          <cell r="G1157">
            <v>36</v>
          </cell>
          <cell r="H1157">
            <v>5000</v>
          </cell>
          <cell r="I1157">
            <v>2</v>
          </cell>
          <cell r="J1157" t="str">
            <v>ТАК ПСБ "Ориёнбанк"</v>
          </cell>
          <cell r="K1157">
            <v>180000</v>
          </cell>
          <cell r="L1157">
            <v>5000</v>
          </cell>
          <cell r="M1157">
            <v>1</v>
          </cell>
          <cell r="N1157">
            <v>180000</v>
          </cell>
        </row>
        <row r="1158">
          <cell r="A1158">
            <v>2003</v>
          </cell>
          <cell r="B1158">
            <v>6</v>
          </cell>
          <cell r="C1158">
            <v>1</v>
          </cell>
          <cell r="D1158">
            <v>150</v>
          </cell>
          <cell r="E1158">
            <v>2</v>
          </cell>
          <cell r="F1158" t="str">
            <v>TJS</v>
          </cell>
          <cell r="G1158">
            <v>36</v>
          </cell>
          <cell r="H1158">
            <v>1000</v>
          </cell>
          <cell r="I1158">
            <v>1</v>
          </cell>
          <cell r="J1158" t="str">
            <v>ТАК ПСБ "Ориёнбанк"</v>
          </cell>
          <cell r="K1158">
            <v>32000</v>
          </cell>
          <cell r="L1158">
            <v>1000</v>
          </cell>
          <cell r="M1158">
            <v>1</v>
          </cell>
          <cell r="N1158">
            <v>32000</v>
          </cell>
        </row>
        <row r="1159">
          <cell r="A1159">
            <v>2003</v>
          </cell>
          <cell r="B1159">
            <v>6</v>
          </cell>
          <cell r="C1159">
            <v>1</v>
          </cell>
          <cell r="D1159">
            <v>240</v>
          </cell>
          <cell r="E1159">
            <v>2</v>
          </cell>
          <cell r="F1159" t="str">
            <v>TJS</v>
          </cell>
          <cell r="G1159">
            <v>32</v>
          </cell>
          <cell r="H1159">
            <v>2500</v>
          </cell>
          <cell r="I1159">
            <v>1</v>
          </cell>
          <cell r="J1159" t="str">
            <v>ТАК ПСБ "Ориёнбанк"</v>
          </cell>
          <cell r="K1159">
            <v>65000</v>
          </cell>
          <cell r="L1159">
            <v>2500</v>
          </cell>
          <cell r="M1159">
            <v>1</v>
          </cell>
          <cell r="N1159">
            <v>65000</v>
          </cell>
        </row>
        <row r="1160">
          <cell r="A1160">
            <v>2003</v>
          </cell>
          <cell r="B1160">
            <v>6</v>
          </cell>
          <cell r="C1160">
            <v>1</v>
          </cell>
          <cell r="D1160">
            <v>360</v>
          </cell>
          <cell r="E1160">
            <v>2</v>
          </cell>
          <cell r="F1160" t="str">
            <v>TJS</v>
          </cell>
          <cell r="G1160">
            <v>26</v>
          </cell>
          <cell r="H1160">
            <v>2500</v>
          </cell>
          <cell r="I1160">
            <v>1</v>
          </cell>
          <cell r="J1160" t="str">
            <v>ТАК ПСБ "Ориёнбанк"</v>
          </cell>
          <cell r="K1160">
            <v>90000</v>
          </cell>
          <cell r="L1160">
            <v>2500</v>
          </cell>
          <cell r="M1160">
            <v>1</v>
          </cell>
          <cell r="N1160">
            <v>90000</v>
          </cell>
        </row>
        <row r="1161">
          <cell r="A1161">
            <v>2003</v>
          </cell>
          <cell r="B1161">
            <v>6</v>
          </cell>
          <cell r="C1161">
            <v>1</v>
          </cell>
          <cell r="D1161">
            <v>322</v>
          </cell>
          <cell r="E1161">
            <v>1</v>
          </cell>
          <cell r="F1161" t="str">
            <v>TJS</v>
          </cell>
          <cell r="G1161">
            <v>36</v>
          </cell>
          <cell r="H1161">
            <v>2500</v>
          </cell>
          <cell r="I1161">
            <v>1</v>
          </cell>
          <cell r="J1161" t="str">
            <v>ТАК ПСБ "Ориёнбанк"</v>
          </cell>
          <cell r="K1161">
            <v>60000</v>
          </cell>
          <cell r="L1161">
            <v>2500</v>
          </cell>
          <cell r="M1161">
            <v>1</v>
          </cell>
          <cell r="N1161">
            <v>60000</v>
          </cell>
        </row>
        <row r="1162">
          <cell r="A1162">
            <v>2003</v>
          </cell>
          <cell r="B1162">
            <v>6</v>
          </cell>
          <cell r="C1162">
            <v>1</v>
          </cell>
          <cell r="D1162">
            <v>180</v>
          </cell>
          <cell r="E1162">
            <v>2</v>
          </cell>
          <cell r="F1162" t="str">
            <v>USD</v>
          </cell>
          <cell r="G1162">
            <v>24</v>
          </cell>
          <cell r="H1162">
            <v>12360</v>
          </cell>
          <cell r="I1162">
            <v>2</v>
          </cell>
          <cell r="J1162" t="str">
            <v>ТАК ПСБ "Ориёнбанк"</v>
          </cell>
          <cell r="K1162">
            <v>222480</v>
          </cell>
          <cell r="L1162">
            <v>12563.28947368421</v>
          </cell>
          <cell r="M1162">
            <v>1.0164473684210527</v>
          </cell>
          <cell r="N1162">
            <v>226139.2105263158</v>
          </cell>
        </row>
        <row r="1163">
          <cell r="A1163">
            <v>2003</v>
          </cell>
          <cell r="B1163">
            <v>6</v>
          </cell>
          <cell r="C1163">
            <v>1</v>
          </cell>
          <cell r="D1163">
            <v>359</v>
          </cell>
          <cell r="E1163">
            <v>1</v>
          </cell>
          <cell r="F1163" t="str">
            <v>USD</v>
          </cell>
          <cell r="G1163">
            <v>18</v>
          </cell>
          <cell r="H1163">
            <v>13905</v>
          </cell>
          <cell r="I1163">
            <v>1</v>
          </cell>
          <cell r="J1163" t="str">
            <v>ТАК ПСБ "Ориёнбанк"</v>
          </cell>
          <cell r="K1163">
            <v>264195</v>
          </cell>
          <cell r="L1163">
            <v>14133.700657894737</v>
          </cell>
          <cell r="M1163">
            <v>1.0164473684210527</v>
          </cell>
          <cell r="N1163">
            <v>268540.3125</v>
          </cell>
        </row>
        <row r="1164">
          <cell r="A1164">
            <v>2003</v>
          </cell>
          <cell r="B1164">
            <v>6</v>
          </cell>
          <cell r="C1164">
            <v>1</v>
          </cell>
          <cell r="D1164">
            <v>330</v>
          </cell>
          <cell r="E1164">
            <v>2</v>
          </cell>
          <cell r="F1164" t="str">
            <v>USD</v>
          </cell>
          <cell r="G1164">
            <v>19</v>
          </cell>
          <cell r="H1164">
            <v>4944</v>
          </cell>
          <cell r="I1164">
            <v>2</v>
          </cell>
          <cell r="J1164" t="str">
            <v>ТАК ПСБ "Ориёнбанк"</v>
          </cell>
          <cell r="K1164">
            <v>118656</v>
          </cell>
          <cell r="L1164">
            <v>5025.315789473684</v>
          </cell>
          <cell r="M1164">
            <v>1.0164473684210527</v>
          </cell>
          <cell r="N1164">
            <v>120607.57894736843</v>
          </cell>
        </row>
        <row r="1165">
          <cell r="A1165">
            <v>2003</v>
          </cell>
          <cell r="B1165">
            <v>6</v>
          </cell>
          <cell r="C1165">
            <v>1</v>
          </cell>
          <cell r="D1165">
            <v>330</v>
          </cell>
          <cell r="E1165">
            <v>2</v>
          </cell>
          <cell r="F1165" t="str">
            <v>USD</v>
          </cell>
          <cell r="G1165">
            <v>24</v>
          </cell>
          <cell r="H1165">
            <v>4944</v>
          </cell>
          <cell r="I1165">
            <v>2</v>
          </cell>
          <cell r="J1165" t="str">
            <v>ТАК ПСБ "Ориёнбанк"</v>
          </cell>
          <cell r="K1165">
            <v>133488</v>
          </cell>
          <cell r="L1165">
            <v>5025.315789473684</v>
          </cell>
          <cell r="M1165">
            <v>1.0164473684210527</v>
          </cell>
          <cell r="N1165">
            <v>135683.52631578947</v>
          </cell>
        </row>
        <row r="1166">
          <cell r="A1166">
            <v>2003</v>
          </cell>
          <cell r="B1166">
            <v>6</v>
          </cell>
          <cell r="C1166">
            <v>1</v>
          </cell>
          <cell r="D1166">
            <v>180</v>
          </cell>
          <cell r="E1166">
            <v>2</v>
          </cell>
          <cell r="F1166" t="str">
            <v>TJS</v>
          </cell>
          <cell r="G1166">
            <v>27</v>
          </cell>
          <cell r="H1166">
            <v>25000</v>
          </cell>
          <cell r="I1166">
            <v>1</v>
          </cell>
          <cell r="J1166" t="str">
            <v>АКБ  СП "Сохибкорбанк"</v>
          </cell>
          <cell r="K1166">
            <v>675000</v>
          </cell>
          <cell r="L1166">
            <v>25000</v>
          </cell>
          <cell r="M1166">
            <v>1</v>
          </cell>
          <cell r="N1166">
            <v>675000</v>
          </cell>
        </row>
        <row r="1167">
          <cell r="A1167">
            <v>2003</v>
          </cell>
          <cell r="B1167">
            <v>6</v>
          </cell>
          <cell r="C1167">
            <v>1</v>
          </cell>
          <cell r="D1167">
            <v>180</v>
          </cell>
          <cell r="E1167">
            <v>1</v>
          </cell>
          <cell r="F1167" t="str">
            <v>TJS</v>
          </cell>
          <cell r="G1167">
            <v>24</v>
          </cell>
          <cell r="H1167">
            <v>8000</v>
          </cell>
          <cell r="I1167">
            <v>1</v>
          </cell>
          <cell r="J1167" t="str">
            <v>АКБ  СП "Сохибкорбанк"</v>
          </cell>
          <cell r="K1167">
            <v>192000</v>
          </cell>
          <cell r="L1167">
            <v>8000</v>
          </cell>
          <cell r="M1167">
            <v>1</v>
          </cell>
          <cell r="N1167">
            <v>192000</v>
          </cell>
        </row>
        <row r="1168">
          <cell r="A1168">
            <v>2003</v>
          </cell>
          <cell r="B1168">
            <v>6</v>
          </cell>
          <cell r="C1168">
            <v>5</v>
          </cell>
          <cell r="D1168">
            <v>300</v>
          </cell>
          <cell r="E1168">
            <v>1</v>
          </cell>
          <cell r="F1168" t="str">
            <v>TJS</v>
          </cell>
          <cell r="G1168">
            <v>20</v>
          </cell>
          <cell r="H1168">
            <v>424768</v>
          </cell>
          <cell r="I1168">
            <v>1</v>
          </cell>
          <cell r="J1168" t="str">
            <v>АООТ "Ходжент"</v>
          </cell>
          <cell r="K1168">
            <v>8495360</v>
          </cell>
          <cell r="L1168">
            <v>424768</v>
          </cell>
          <cell r="M1168">
            <v>1</v>
          </cell>
          <cell r="N1168">
            <v>8495360</v>
          </cell>
        </row>
        <row r="1169">
          <cell r="A1169">
            <v>2003</v>
          </cell>
          <cell r="B1169">
            <v>6</v>
          </cell>
          <cell r="C1169">
            <v>1</v>
          </cell>
          <cell r="D1169">
            <v>30</v>
          </cell>
          <cell r="E1169">
            <v>1</v>
          </cell>
          <cell r="F1169" t="str">
            <v>TJS</v>
          </cell>
          <cell r="G1169">
            <v>25</v>
          </cell>
          <cell r="H1169">
            <v>53000</v>
          </cell>
          <cell r="I1169">
            <v>1</v>
          </cell>
          <cell r="J1169" t="str">
            <v>АООТ "Ходжент"</v>
          </cell>
          <cell r="K1169">
            <v>1325000</v>
          </cell>
          <cell r="L1169">
            <v>53000</v>
          </cell>
          <cell r="M1169">
            <v>1</v>
          </cell>
          <cell r="N1169">
            <v>1325000</v>
          </cell>
        </row>
        <row r="1170">
          <cell r="A1170">
            <v>2003</v>
          </cell>
          <cell r="B1170">
            <v>6</v>
          </cell>
          <cell r="C1170">
            <v>3</v>
          </cell>
          <cell r="D1170">
            <v>25</v>
          </cell>
          <cell r="E1170">
            <v>1</v>
          </cell>
          <cell r="F1170" t="str">
            <v>TJS</v>
          </cell>
          <cell r="G1170">
            <v>35</v>
          </cell>
          <cell r="H1170">
            <v>60000</v>
          </cell>
          <cell r="I1170">
            <v>1</v>
          </cell>
          <cell r="J1170" t="str">
            <v>АООТ "Ходжент"</v>
          </cell>
          <cell r="K1170">
            <v>2100000</v>
          </cell>
          <cell r="L1170">
            <v>60000</v>
          </cell>
          <cell r="M1170">
            <v>1</v>
          </cell>
          <cell r="N1170">
            <v>2100000</v>
          </cell>
        </row>
        <row r="1171">
          <cell r="A1171">
            <v>2003</v>
          </cell>
          <cell r="B1171">
            <v>6</v>
          </cell>
          <cell r="C1171">
            <v>1</v>
          </cell>
          <cell r="D1171">
            <v>180</v>
          </cell>
          <cell r="E1171">
            <v>1</v>
          </cell>
          <cell r="F1171" t="str">
            <v>TJS</v>
          </cell>
          <cell r="G1171">
            <v>36</v>
          </cell>
          <cell r="H1171">
            <v>15000</v>
          </cell>
          <cell r="I1171">
            <v>1</v>
          </cell>
          <cell r="J1171" t="str">
            <v>КТОО "Дехкон"</v>
          </cell>
          <cell r="K1171">
            <v>540000</v>
          </cell>
          <cell r="L1171">
            <v>15000</v>
          </cell>
          <cell r="M1171">
            <v>1</v>
          </cell>
          <cell r="N1171">
            <v>540000</v>
          </cell>
        </row>
        <row r="1172">
          <cell r="A1172">
            <v>2003</v>
          </cell>
          <cell r="B1172">
            <v>6</v>
          </cell>
          <cell r="C1172">
            <v>1</v>
          </cell>
          <cell r="D1172">
            <v>180</v>
          </cell>
          <cell r="E1172">
            <v>1</v>
          </cell>
          <cell r="F1172" t="str">
            <v>TJS</v>
          </cell>
          <cell r="G1172">
            <v>25</v>
          </cell>
          <cell r="H1172">
            <v>24344</v>
          </cell>
          <cell r="I1172">
            <v>1</v>
          </cell>
          <cell r="J1172" t="str">
            <v>АКБ "Ганчина"</v>
          </cell>
          <cell r="K1172">
            <v>608600</v>
          </cell>
          <cell r="L1172">
            <v>24344</v>
          </cell>
          <cell r="M1172">
            <v>1</v>
          </cell>
          <cell r="N1172">
            <v>608600</v>
          </cell>
        </row>
        <row r="1173">
          <cell r="A1173">
            <v>2003</v>
          </cell>
          <cell r="B1173">
            <v>6</v>
          </cell>
          <cell r="C1173">
            <v>1</v>
          </cell>
          <cell r="D1173">
            <v>540</v>
          </cell>
          <cell r="E1173">
            <v>1</v>
          </cell>
          <cell r="F1173" t="str">
            <v>TJS</v>
          </cell>
          <cell r="G1173">
            <v>25</v>
          </cell>
          <cell r="H1173">
            <v>60000</v>
          </cell>
          <cell r="I1173">
            <v>1</v>
          </cell>
          <cell r="J1173" t="str">
            <v>АКБ "Ганчина"</v>
          </cell>
          <cell r="K1173">
            <v>1500000</v>
          </cell>
          <cell r="L1173">
            <v>60000</v>
          </cell>
          <cell r="M1173">
            <v>1</v>
          </cell>
          <cell r="N1173">
            <v>1500000</v>
          </cell>
        </row>
        <row r="1174">
          <cell r="A1174">
            <v>2003</v>
          </cell>
          <cell r="B1174">
            <v>6</v>
          </cell>
          <cell r="C1174">
            <v>1</v>
          </cell>
          <cell r="D1174">
            <v>210</v>
          </cell>
          <cell r="E1174">
            <v>1</v>
          </cell>
          <cell r="F1174" t="str">
            <v>TJS</v>
          </cell>
          <cell r="G1174">
            <v>25</v>
          </cell>
          <cell r="H1174">
            <v>29612</v>
          </cell>
          <cell r="I1174">
            <v>1</v>
          </cell>
          <cell r="J1174" t="str">
            <v>АКБ "Ганчина"</v>
          </cell>
          <cell r="K1174">
            <v>740300</v>
          </cell>
          <cell r="L1174">
            <v>29612</v>
          </cell>
          <cell r="M1174">
            <v>1</v>
          </cell>
          <cell r="N1174">
            <v>740300</v>
          </cell>
        </row>
        <row r="1175">
          <cell r="A1175">
            <v>2003</v>
          </cell>
          <cell r="B1175">
            <v>6</v>
          </cell>
          <cell r="C1175">
            <v>1</v>
          </cell>
          <cell r="D1175">
            <v>1800</v>
          </cell>
          <cell r="E1175">
            <v>2</v>
          </cell>
          <cell r="F1175" t="str">
            <v>TJS</v>
          </cell>
          <cell r="G1175">
            <v>16</v>
          </cell>
          <cell r="H1175">
            <v>40000</v>
          </cell>
          <cell r="I1175">
            <v>1</v>
          </cell>
          <cell r="J1175" t="str">
            <v>ГСБ РТ "Амонатбонк"</v>
          </cell>
          <cell r="K1175">
            <v>640000</v>
          </cell>
          <cell r="L1175">
            <v>40000</v>
          </cell>
          <cell r="M1175">
            <v>1</v>
          </cell>
          <cell r="N1175">
            <v>640000</v>
          </cell>
        </row>
        <row r="1176">
          <cell r="A1176">
            <v>2003</v>
          </cell>
          <cell r="B1176">
            <v>6</v>
          </cell>
          <cell r="C1176">
            <v>1</v>
          </cell>
          <cell r="D1176">
            <v>360</v>
          </cell>
          <cell r="E1176">
            <v>1</v>
          </cell>
          <cell r="F1176" t="str">
            <v>TJS</v>
          </cell>
          <cell r="G1176">
            <v>20</v>
          </cell>
          <cell r="H1176">
            <v>2000000</v>
          </cell>
          <cell r="I1176">
            <v>1</v>
          </cell>
          <cell r="J1176" t="str">
            <v>ГСБ РТ "Амонатбонк"</v>
          </cell>
          <cell r="K1176">
            <v>40000000</v>
          </cell>
          <cell r="L1176">
            <v>2000000</v>
          </cell>
          <cell r="M1176">
            <v>1</v>
          </cell>
          <cell r="N1176">
            <v>40000000</v>
          </cell>
        </row>
        <row r="1177">
          <cell r="A1177">
            <v>2003</v>
          </cell>
          <cell r="B1177">
            <v>6</v>
          </cell>
          <cell r="C1177">
            <v>1</v>
          </cell>
          <cell r="D1177">
            <v>360</v>
          </cell>
          <cell r="E1177">
            <v>2</v>
          </cell>
          <cell r="F1177" t="str">
            <v>TJS</v>
          </cell>
          <cell r="G1177">
            <v>36</v>
          </cell>
          <cell r="H1177">
            <v>58050</v>
          </cell>
          <cell r="I1177">
            <v>34</v>
          </cell>
          <cell r="J1177" t="str">
            <v>ГСБ РТ "Амонатбонк"</v>
          </cell>
          <cell r="K1177">
            <v>2089800</v>
          </cell>
          <cell r="L1177">
            <v>58050</v>
          </cell>
          <cell r="M1177">
            <v>1</v>
          </cell>
          <cell r="N1177">
            <v>2089800</v>
          </cell>
        </row>
        <row r="1178">
          <cell r="A1178">
            <v>2003</v>
          </cell>
          <cell r="B1178">
            <v>6</v>
          </cell>
          <cell r="C1178">
            <v>1</v>
          </cell>
          <cell r="D1178">
            <v>180</v>
          </cell>
          <cell r="E1178">
            <v>2</v>
          </cell>
          <cell r="F1178" t="str">
            <v>TJS</v>
          </cell>
          <cell r="G1178">
            <v>48</v>
          </cell>
          <cell r="H1178">
            <v>2100</v>
          </cell>
          <cell r="I1178">
            <v>1</v>
          </cell>
          <cell r="J1178" t="str">
            <v>ГСБ РТ "Амонатбонк"</v>
          </cell>
          <cell r="K1178">
            <v>100800</v>
          </cell>
          <cell r="L1178">
            <v>2100</v>
          </cell>
          <cell r="M1178">
            <v>1</v>
          </cell>
          <cell r="N1178">
            <v>100800</v>
          </cell>
        </row>
        <row r="1179">
          <cell r="A1179">
            <v>2003</v>
          </cell>
          <cell r="B1179">
            <v>6</v>
          </cell>
          <cell r="C1179">
            <v>1</v>
          </cell>
          <cell r="D1179">
            <v>360</v>
          </cell>
          <cell r="E1179">
            <v>2</v>
          </cell>
          <cell r="F1179" t="str">
            <v>TJS</v>
          </cell>
          <cell r="G1179">
            <v>48</v>
          </cell>
          <cell r="H1179">
            <v>42100</v>
          </cell>
          <cell r="I1179">
            <v>3</v>
          </cell>
          <cell r="J1179" t="str">
            <v>ГСБ РТ "Амонатбонк"</v>
          </cell>
          <cell r="K1179">
            <v>2020800</v>
          </cell>
          <cell r="L1179">
            <v>42100</v>
          </cell>
          <cell r="M1179">
            <v>1</v>
          </cell>
          <cell r="N1179">
            <v>2020800</v>
          </cell>
        </row>
        <row r="1180">
          <cell r="A1180">
            <v>2003</v>
          </cell>
          <cell r="B1180">
            <v>6</v>
          </cell>
          <cell r="C1180">
            <v>1</v>
          </cell>
          <cell r="D1180">
            <v>180</v>
          </cell>
          <cell r="E1180">
            <v>2</v>
          </cell>
          <cell r="F1180" t="str">
            <v>TJS</v>
          </cell>
          <cell r="G1180">
            <v>36</v>
          </cell>
          <cell r="H1180">
            <v>6300</v>
          </cell>
          <cell r="I1180">
            <v>3</v>
          </cell>
          <cell r="J1180" t="str">
            <v>ГСБ РТ "Амонатбонк"</v>
          </cell>
          <cell r="K1180">
            <v>226800</v>
          </cell>
          <cell r="L1180">
            <v>6300</v>
          </cell>
          <cell r="M1180">
            <v>1</v>
          </cell>
          <cell r="N1180">
            <v>226800</v>
          </cell>
        </row>
        <row r="1181">
          <cell r="A1181">
            <v>2003</v>
          </cell>
          <cell r="B1181">
            <v>6</v>
          </cell>
          <cell r="C1181">
            <v>1</v>
          </cell>
          <cell r="D1181">
            <v>360</v>
          </cell>
          <cell r="E1181">
            <v>2</v>
          </cell>
          <cell r="F1181" t="str">
            <v>TJS</v>
          </cell>
          <cell r="G1181">
            <v>0</v>
          </cell>
          <cell r="H1181">
            <v>44900</v>
          </cell>
          <cell r="I1181">
            <v>1</v>
          </cell>
          <cell r="J1181" t="str">
            <v>КБ "Сомон-банк"</v>
          </cell>
          <cell r="K1181">
            <v>0</v>
          </cell>
          <cell r="L1181">
            <v>44900</v>
          </cell>
          <cell r="M1181">
            <v>1</v>
          </cell>
          <cell r="N1181">
            <v>0</v>
          </cell>
        </row>
        <row r="1182">
          <cell r="A1182">
            <v>2003</v>
          </cell>
          <cell r="B1182">
            <v>6</v>
          </cell>
          <cell r="C1182">
            <v>1</v>
          </cell>
          <cell r="D1182">
            <v>90</v>
          </cell>
          <cell r="E1182">
            <v>2</v>
          </cell>
          <cell r="F1182" t="str">
            <v>TJS</v>
          </cell>
          <cell r="G1182">
            <v>36</v>
          </cell>
          <cell r="H1182">
            <v>300</v>
          </cell>
          <cell r="I1182">
            <v>1</v>
          </cell>
          <cell r="J1182" t="str">
            <v>КБ "Сомон-банк"</v>
          </cell>
          <cell r="K1182">
            <v>10800</v>
          </cell>
          <cell r="L1182">
            <v>300</v>
          </cell>
          <cell r="M1182">
            <v>1</v>
          </cell>
          <cell r="N1182">
            <v>10800</v>
          </cell>
        </row>
        <row r="1183">
          <cell r="A1183">
            <v>2003</v>
          </cell>
          <cell r="B1183">
            <v>6</v>
          </cell>
          <cell r="C1183">
            <v>1</v>
          </cell>
          <cell r="D1183">
            <v>360</v>
          </cell>
          <cell r="E1183">
            <v>2</v>
          </cell>
          <cell r="F1183" t="str">
            <v>USD</v>
          </cell>
          <cell r="G1183">
            <v>36</v>
          </cell>
          <cell r="H1183">
            <v>927</v>
          </cell>
          <cell r="I1183">
            <v>1</v>
          </cell>
          <cell r="J1183" t="str">
            <v>КБ "Сомон-банк"</v>
          </cell>
          <cell r="K1183">
            <v>33372</v>
          </cell>
          <cell r="L1183">
            <v>942.2467105263158</v>
          </cell>
          <cell r="M1183">
            <v>1.0164473684210527</v>
          </cell>
          <cell r="N1183">
            <v>33920.88157894737</v>
          </cell>
        </row>
        <row r="1184">
          <cell r="A1184">
            <v>2003</v>
          </cell>
          <cell r="B1184">
            <v>6</v>
          </cell>
          <cell r="C1184">
            <v>1</v>
          </cell>
          <cell r="D1184">
            <v>180</v>
          </cell>
          <cell r="E1184">
            <v>2</v>
          </cell>
          <cell r="F1184" t="str">
            <v>USD</v>
          </cell>
          <cell r="G1184">
            <v>36</v>
          </cell>
          <cell r="H1184">
            <v>2626</v>
          </cell>
          <cell r="I1184">
            <v>4</v>
          </cell>
          <cell r="J1184" t="str">
            <v>КБ "Сомон-банк"</v>
          </cell>
          <cell r="K1184">
            <v>94536</v>
          </cell>
          <cell r="L1184">
            <v>2669.190789473684</v>
          </cell>
          <cell r="M1184">
            <v>1.0164473684210527</v>
          </cell>
          <cell r="N1184">
            <v>96090.86842105264</v>
          </cell>
        </row>
        <row r="1185">
          <cell r="A1185">
            <v>2003</v>
          </cell>
          <cell r="B1185">
            <v>6</v>
          </cell>
          <cell r="C1185">
            <v>1</v>
          </cell>
          <cell r="D1185">
            <v>60</v>
          </cell>
          <cell r="E1185">
            <v>2</v>
          </cell>
          <cell r="F1185" t="str">
            <v>USD</v>
          </cell>
          <cell r="G1185">
            <v>36</v>
          </cell>
          <cell r="H1185">
            <v>6180</v>
          </cell>
          <cell r="I1185">
            <v>1</v>
          </cell>
          <cell r="J1185" t="str">
            <v>КБ "Сомон-банк"</v>
          </cell>
          <cell r="K1185">
            <v>222480</v>
          </cell>
          <cell r="L1185">
            <v>6281.644736842105</v>
          </cell>
          <cell r="M1185">
            <v>1.0164473684210527</v>
          </cell>
          <cell r="N1185">
            <v>226139.2105263158</v>
          </cell>
        </row>
        <row r="1186">
          <cell r="A1186">
            <v>2003</v>
          </cell>
          <cell r="B1186">
            <v>6</v>
          </cell>
          <cell r="C1186">
            <v>1</v>
          </cell>
          <cell r="D1186">
            <v>90</v>
          </cell>
          <cell r="E1186">
            <v>1</v>
          </cell>
          <cell r="F1186" t="str">
            <v>TJS</v>
          </cell>
          <cell r="G1186">
            <v>24</v>
          </cell>
          <cell r="H1186">
            <v>80000</v>
          </cell>
          <cell r="I1186">
            <v>1</v>
          </cell>
          <cell r="J1186" t="str">
            <v>КТОО "Финансирование и торговли"</v>
          </cell>
          <cell r="K1186">
            <v>1920000</v>
          </cell>
          <cell r="L1186">
            <v>80000</v>
          </cell>
          <cell r="M1186">
            <v>1</v>
          </cell>
          <cell r="N1186">
            <v>1920000</v>
          </cell>
        </row>
        <row r="1187">
          <cell r="A1187">
            <v>2003</v>
          </cell>
          <cell r="B1187">
            <v>6</v>
          </cell>
          <cell r="C1187">
            <v>1</v>
          </cell>
          <cell r="D1187">
            <v>20</v>
          </cell>
          <cell r="E1187">
            <v>1</v>
          </cell>
          <cell r="F1187" t="str">
            <v>TJS</v>
          </cell>
          <cell r="G1187">
            <v>12</v>
          </cell>
          <cell r="H1187">
            <v>8914851</v>
          </cell>
          <cell r="I1187">
            <v>9</v>
          </cell>
          <cell r="J1187" t="str">
            <v>СЛТ АКБ "Ист-Кредитбанк"</v>
          </cell>
          <cell r="K1187">
            <v>106978212</v>
          </cell>
          <cell r="L1187">
            <v>8914851</v>
          </cell>
          <cell r="M1187">
            <v>1</v>
          </cell>
          <cell r="N1187">
            <v>106978212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Основные показатели"/>
      <sheetName val="Кредитные вложения (всего)"/>
      <sheetName val="Виды собственности (нацвалюта)"/>
      <sheetName val="Виды собственности (инвалюта)"/>
      <sheetName val="Депозиты"/>
      <sheetName val="Обменные пункты"/>
      <sheetName val="БСД"/>
      <sheetName val="ОК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24"/>
      <sheetName val="2023"/>
      <sheetName val="2022"/>
      <sheetName val="2021"/>
      <sheetName val="2020"/>
      <sheetName val="2019"/>
      <sheetName val="2018"/>
      <sheetName val="2017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 "/>
      <sheetName val="2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B10" sqref="B10"/>
    </sheetView>
  </sheetViews>
  <sheetFormatPr defaultColWidth="9.25390625" defaultRowHeight="12.75"/>
  <cols>
    <col min="1" max="1" width="40.50390625" style="48" customWidth="1"/>
    <col min="2" max="2" width="12.50390625" style="48" customWidth="1"/>
    <col min="3" max="3" width="10.25390625" style="48" customWidth="1"/>
    <col min="4" max="4" width="10.50390625" style="48" customWidth="1"/>
    <col min="5" max="5" width="9.75390625" style="48" customWidth="1"/>
    <col min="6" max="6" width="9.50390625" style="48" customWidth="1"/>
    <col min="7" max="7" width="9.75390625" style="48" customWidth="1"/>
    <col min="8" max="8" width="11.50390625" style="48" customWidth="1"/>
    <col min="9" max="10" width="9.50390625" style="48" customWidth="1"/>
    <col min="11" max="12" width="9.75390625" style="48" customWidth="1"/>
    <col min="13" max="13" width="10.25390625" style="48" customWidth="1"/>
    <col min="14" max="14" width="12.25390625" style="48" bestFit="1" customWidth="1"/>
    <col min="15" max="15" width="16.50390625" style="48" customWidth="1"/>
    <col min="16" max="16384" width="9.25390625" style="48" customWidth="1"/>
  </cols>
  <sheetData>
    <row r="1" spans="2:4" ht="13.5" customHeight="1">
      <c r="B1" s="53"/>
      <c r="C1" s="53"/>
      <c r="D1" s="53"/>
    </row>
    <row r="2" spans="1:13" ht="61.5" customHeight="1">
      <c r="A2" s="58" t="s">
        <v>33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7:13" ht="18" customHeight="1">
      <c r="G3" s="54"/>
      <c r="H3" s="54"/>
      <c r="L3" s="59" t="s">
        <v>55</v>
      </c>
      <c r="M3" s="59"/>
    </row>
    <row r="4" spans="1:13" ht="18" customHeight="1">
      <c r="A4" s="44" t="s">
        <v>0</v>
      </c>
      <c r="B4" s="60">
        <v>2024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15">
      <c r="A5" s="44" t="s">
        <v>1</v>
      </c>
      <c r="B5" s="50" t="s">
        <v>64</v>
      </c>
      <c r="C5" s="50" t="s">
        <v>65</v>
      </c>
      <c r="D5" s="50" t="s">
        <v>66</v>
      </c>
      <c r="E5" s="50" t="s">
        <v>67</v>
      </c>
      <c r="F5" s="50" t="s">
        <v>44</v>
      </c>
      <c r="G5" s="50" t="s">
        <v>45</v>
      </c>
      <c r="H5" s="50" t="s">
        <v>46</v>
      </c>
      <c r="I5" s="50" t="s">
        <v>59</v>
      </c>
      <c r="J5" s="50" t="s">
        <v>60</v>
      </c>
      <c r="K5" s="51" t="s">
        <v>61</v>
      </c>
      <c r="L5" s="50" t="s">
        <v>62</v>
      </c>
      <c r="M5" s="50" t="s">
        <v>63</v>
      </c>
    </row>
    <row r="6" spans="1:13" ht="15">
      <c r="A6" s="40" t="s">
        <v>5</v>
      </c>
      <c r="B6" s="35">
        <v>17958929.92941196</v>
      </c>
      <c r="C6" s="35">
        <v>18294869.763679475</v>
      </c>
      <c r="D6" s="35">
        <v>18369060.85940274</v>
      </c>
      <c r="E6" s="35"/>
      <c r="F6" s="35"/>
      <c r="G6" s="35"/>
      <c r="H6" s="35"/>
      <c r="I6" s="35"/>
      <c r="J6" s="35"/>
      <c r="K6" s="35"/>
      <c r="L6" s="35"/>
      <c r="M6" s="27"/>
    </row>
    <row r="7" spans="1:15" ht="15">
      <c r="A7" s="45" t="s">
        <v>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28"/>
      <c r="O7" s="55"/>
    </row>
    <row r="8" spans="1:13" ht="15">
      <c r="A8" s="46" t="s">
        <v>10</v>
      </c>
      <c r="B8" s="38">
        <v>78342.80522000001</v>
      </c>
      <c r="C8" s="38">
        <v>78272.95119</v>
      </c>
      <c r="D8" s="38">
        <v>78208.31903</v>
      </c>
      <c r="E8" s="38"/>
      <c r="F8" s="38"/>
      <c r="G8" s="38"/>
      <c r="H8" s="38"/>
      <c r="I8" s="38"/>
      <c r="J8" s="38"/>
      <c r="K8" s="38"/>
      <c r="L8" s="38"/>
      <c r="M8" s="29"/>
    </row>
    <row r="9" spans="1:15" ht="15">
      <c r="A9" s="46" t="s">
        <v>68</v>
      </c>
      <c r="B9" s="38">
        <v>17880587.12419196</v>
      </c>
      <c r="C9" s="38">
        <v>18216596.812489472</v>
      </c>
      <c r="D9" s="38">
        <v>18290852.54037274</v>
      </c>
      <c r="E9" s="38"/>
      <c r="F9" s="38"/>
      <c r="G9" s="38"/>
      <c r="H9" s="38"/>
      <c r="I9" s="38"/>
      <c r="J9" s="38"/>
      <c r="K9" s="38"/>
      <c r="L9" s="38"/>
      <c r="M9" s="29"/>
      <c r="O9" s="56"/>
    </row>
    <row r="10" spans="1:13" ht="15">
      <c r="A10" s="40" t="s">
        <v>12</v>
      </c>
      <c r="B10" s="35">
        <v>12219545.89614</v>
      </c>
      <c r="C10" s="35">
        <v>12488179.586330002</v>
      </c>
      <c r="D10" s="35">
        <v>12574519.93475</v>
      </c>
      <c r="E10" s="35"/>
      <c r="F10" s="35"/>
      <c r="G10" s="35"/>
      <c r="H10" s="35"/>
      <c r="I10" s="35"/>
      <c r="J10" s="35"/>
      <c r="K10" s="35"/>
      <c r="L10" s="35"/>
      <c r="M10" s="27"/>
    </row>
    <row r="11" spans="1:13" ht="15">
      <c r="A11" s="47" t="s">
        <v>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28"/>
    </row>
    <row r="12" spans="1:13" ht="15">
      <c r="A12" s="46" t="s">
        <v>10</v>
      </c>
      <c r="B12" s="38">
        <v>78342.80522000001</v>
      </c>
      <c r="C12" s="38">
        <v>78272.95119</v>
      </c>
      <c r="D12" s="38">
        <v>78208.31903</v>
      </c>
      <c r="E12" s="38"/>
      <c r="F12" s="38"/>
      <c r="G12" s="38"/>
      <c r="H12" s="38"/>
      <c r="I12" s="38"/>
      <c r="J12" s="38"/>
      <c r="K12" s="38"/>
      <c r="L12" s="38"/>
      <c r="M12" s="29"/>
    </row>
    <row r="13" spans="1:14" ht="15">
      <c r="A13" s="46" t="s">
        <v>68</v>
      </c>
      <c r="B13" s="38">
        <v>12141203.09092</v>
      </c>
      <c r="C13" s="38">
        <v>12409906.635140002</v>
      </c>
      <c r="D13" s="38">
        <v>12496311.61572</v>
      </c>
      <c r="E13" s="38"/>
      <c r="F13" s="38"/>
      <c r="G13" s="38"/>
      <c r="H13" s="38"/>
      <c r="I13" s="38"/>
      <c r="J13" s="38"/>
      <c r="K13" s="38"/>
      <c r="L13" s="38"/>
      <c r="M13" s="29"/>
      <c r="N13" s="55"/>
    </row>
    <row r="14" spans="1:13" ht="15">
      <c r="A14" s="40" t="s">
        <v>14</v>
      </c>
      <c r="B14" s="35">
        <v>5739384.033271959</v>
      </c>
      <c r="C14" s="35">
        <v>5806690.177349472</v>
      </c>
      <c r="D14" s="35">
        <v>5794540.92465274</v>
      </c>
      <c r="E14" s="35"/>
      <c r="F14" s="35"/>
      <c r="G14" s="35"/>
      <c r="H14" s="35"/>
      <c r="I14" s="35"/>
      <c r="J14" s="35"/>
      <c r="K14" s="35"/>
      <c r="L14" s="35"/>
      <c r="M14" s="27"/>
    </row>
    <row r="15" spans="1:13" ht="15">
      <c r="A15" s="45" t="s">
        <v>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29"/>
    </row>
    <row r="16" spans="1:13" ht="15">
      <c r="A16" s="46" t="s">
        <v>10</v>
      </c>
      <c r="B16" s="42">
        <v>0</v>
      </c>
      <c r="C16" s="42">
        <v>0</v>
      </c>
      <c r="D16" s="42">
        <v>0</v>
      </c>
      <c r="E16" s="42"/>
      <c r="F16" s="42"/>
      <c r="G16" s="42"/>
      <c r="H16" s="42"/>
      <c r="I16" s="42"/>
      <c r="J16" s="42"/>
      <c r="K16" s="42"/>
      <c r="L16" s="42"/>
      <c r="M16" s="30"/>
    </row>
    <row r="17" spans="1:13" ht="15">
      <c r="A17" s="46" t="s">
        <v>68</v>
      </c>
      <c r="B17" s="38">
        <v>5739384.033271959</v>
      </c>
      <c r="C17" s="38">
        <v>5806690.177349472</v>
      </c>
      <c r="D17" s="38">
        <v>5794540.92465274</v>
      </c>
      <c r="E17" s="38"/>
      <c r="F17" s="38"/>
      <c r="G17" s="38"/>
      <c r="H17" s="38"/>
      <c r="I17" s="38"/>
      <c r="J17" s="38"/>
      <c r="K17" s="38"/>
      <c r="L17" s="38"/>
      <c r="M17" s="29"/>
    </row>
    <row r="19" spans="3:12" ht="15">
      <c r="C19" s="55"/>
      <c r="D19" s="55"/>
      <c r="E19" s="55"/>
      <c r="F19" s="55"/>
      <c r="G19" s="55"/>
      <c r="H19" s="55"/>
      <c r="J19" s="55"/>
      <c r="L19" s="55"/>
    </row>
    <row r="20" spans="2:12" ht="15">
      <c r="B20" s="57"/>
      <c r="C20" s="55"/>
      <c r="D20" s="55"/>
      <c r="G20" s="55"/>
      <c r="H20" s="55"/>
      <c r="J20" s="55"/>
      <c r="L20" s="55"/>
    </row>
    <row r="21" spans="2:12" ht="15">
      <c r="B21" s="55"/>
      <c r="C21" s="55"/>
      <c r="D21" s="55"/>
      <c r="E21" s="55"/>
      <c r="F21" s="55"/>
      <c r="H21" s="55"/>
      <c r="J21" s="55"/>
      <c r="L21" s="55"/>
    </row>
    <row r="22" spans="8:13" ht="15">
      <c r="H22" s="55"/>
      <c r="I22" s="55"/>
      <c r="J22" s="55"/>
      <c r="L22" s="55"/>
      <c r="M22" s="55"/>
    </row>
  </sheetData>
  <sheetProtection/>
  <mergeCells count="3">
    <mergeCell ref="A2:M2"/>
    <mergeCell ref="L3:M3"/>
    <mergeCell ref="B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4" sqref="A14"/>
    </sheetView>
  </sheetViews>
  <sheetFormatPr defaultColWidth="9.25390625" defaultRowHeight="12.75"/>
  <cols>
    <col min="1" max="1" width="42.00390625" style="49" customWidth="1"/>
    <col min="2" max="2" width="9.50390625" style="49" customWidth="1"/>
    <col min="3" max="3" width="9.75390625" style="49" customWidth="1"/>
    <col min="4" max="6" width="10.25390625" style="49" customWidth="1"/>
    <col min="7" max="7" width="9.25390625" style="49" customWidth="1"/>
    <col min="8" max="8" width="9.75390625" style="49" customWidth="1"/>
    <col min="9" max="9" width="8.75390625" style="49" customWidth="1"/>
    <col min="10" max="11" width="9.25390625" style="49" customWidth="1"/>
    <col min="12" max="12" width="9.75390625" style="49" customWidth="1"/>
    <col min="13" max="16384" width="9.25390625" style="49" customWidth="1"/>
  </cols>
  <sheetData>
    <row r="1" spans="1:10" ht="37.5" customHeight="1">
      <c r="A1" s="58" t="s">
        <v>33</v>
      </c>
      <c r="B1" s="58"/>
      <c r="C1" s="58"/>
      <c r="D1" s="58"/>
      <c r="E1" s="58"/>
      <c r="F1" s="58"/>
      <c r="G1" s="58"/>
      <c r="H1" s="58"/>
      <c r="I1" s="71"/>
      <c r="J1" s="71"/>
    </row>
    <row r="2" spans="1:10" ht="24.75" customHeight="1">
      <c r="A2" s="63" t="s">
        <v>55</v>
      </c>
      <c r="B2" s="72"/>
      <c r="C2" s="72"/>
      <c r="D2" s="72"/>
      <c r="E2" s="72"/>
      <c r="F2" s="72"/>
      <c r="G2" s="72"/>
      <c r="H2" s="72"/>
      <c r="I2" s="73"/>
      <c r="J2" s="73"/>
    </row>
    <row r="3" spans="1:13" ht="15" customHeight="1">
      <c r="A3" s="44" t="s">
        <v>0</v>
      </c>
      <c r="B3" s="74">
        <v>2015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20.25" customHeight="1">
      <c r="A4" s="44" t="s">
        <v>1</v>
      </c>
      <c r="B4" s="50" t="s">
        <v>40</v>
      </c>
      <c r="C4" s="50" t="s">
        <v>41</v>
      </c>
      <c r="D4" s="50" t="s">
        <v>42</v>
      </c>
      <c r="E4" s="50" t="s">
        <v>43</v>
      </c>
      <c r="F4" s="50" t="s">
        <v>44</v>
      </c>
      <c r="G4" s="50" t="s">
        <v>54</v>
      </c>
      <c r="H4" s="50" t="s">
        <v>46</v>
      </c>
      <c r="I4" s="50" t="s">
        <v>47</v>
      </c>
      <c r="J4" s="50" t="s">
        <v>48</v>
      </c>
      <c r="K4" s="51" t="s">
        <v>49</v>
      </c>
      <c r="L4" s="51" t="s">
        <v>50</v>
      </c>
      <c r="M4" s="51" t="s">
        <v>51</v>
      </c>
    </row>
    <row r="5" spans="1:13" ht="13.5">
      <c r="A5" s="40" t="s">
        <v>5</v>
      </c>
      <c r="B5" s="35">
        <f aca="true" t="shared" si="0" ref="B5:M5">B9+B13</f>
        <v>9903804.794</v>
      </c>
      <c r="C5" s="35">
        <f t="shared" si="0"/>
        <v>10078344.782</v>
      </c>
      <c r="D5" s="35">
        <f t="shared" si="0"/>
        <v>10582094.977</v>
      </c>
      <c r="E5" s="35">
        <f t="shared" si="0"/>
        <v>11134554.855</v>
      </c>
      <c r="F5" s="35">
        <f t="shared" si="0"/>
        <v>11072659.678</v>
      </c>
      <c r="G5" s="35">
        <f t="shared" si="0"/>
        <v>11001044.083999999</v>
      </c>
      <c r="H5" s="35">
        <f t="shared" si="0"/>
        <v>10978772.067</v>
      </c>
      <c r="I5" s="35">
        <f t="shared" si="0"/>
        <v>11164449.73757514</v>
      </c>
      <c r="J5" s="35">
        <f t="shared" si="0"/>
        <v>11333257.106</v>
      </c>
      <c r="K5" s="35">
        <f t="shared" si="0"/>
        <v>11349128.394000001</v>
      </c>
      <c r="L5" s="35">
        <f t="shared" si="0"/>
        <v>11251893.214</v>
      </c>
      <c r="M5" s="35">
        <f t="shared" si="0"/>
        <v>11341660.316</v>
      </c>
    </row>
    <row r="6" spans="1:13" ht="13.5">
      <c r="A6" s="45" t="s">
        <v>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3.5">
      <c r="A7" s="46" t="s">
        <v>10</v>
      </c>
      <c r="B7" s="38">
        <f aca="true" t="shared" si="1" ref="B7:M7">B11+B15</f>
        <v>121933.417</v>
      </c>
      <c r="C7" s="38">
        <f t="shared" si="1"/>
        <v>121463.222</v>
      </c>
      <c r="D7" s="38">
        <f t="shared" si="1"/>
        <v>120682.816</v>
      </c>
      <c r="E7" s="38">
        <f t="shared" si="1"/>
        <v>120133.927</v>
      </c>
      <c r="F7" s="38">
        <f t="shared" si="1"/>
        <v>119634.039</v>
      </c>
      <c r="G7" s="38">
        <f t="shared" si="1"/>
        <v>118970.94</v>
      </c>
      <c r="H7" s="38">
        <f t="shared" si="1"/>
        <v>118194.657</v>
      </c>
      <c r="I7" s="38">
        <f t="shared" si="1"/>
        <v>116966.9965</v>
      </c>
      <c r="J7" s="38">
        <f t="shared" si="1"/>
        <v>116031.052</v>
      </c>
      <c r="K7" s="38">
        <f t="shared" si="1"/>
        <v>115618.739</v>
      </c>
      <c r="L7" s="38">
        <f t="shared" si="1"/>
        <v>114854.479</v>
      </c>
      <c r="M7" s="38">
        <f t="shared" si="1"/>
        <v>114382.693</v>
      </c>
    </row>
    <row r="8" spans="1:13" ht="26.25">
      <c r="A8" s="46" t="s">
        <v>34</v>
      </c>
      <c r="B8" s="38">
        <f aca="true" t="shared" si="2" ref="B8:M8">B12+B16</f>
        <v>9781871.377</v>
      </c>
      <c r="C8" s="38">
        <f t="shared" si="2"/>
        <v>9956881.56</v>
      </c>
      <c r="D8" s="38">
        <f t="shared" si="2"/>
        <v>10461412.160999998</v>
      </c>
      <c r="E8" s="38">
        <f t="shared" si="2"/>
        <v>11014420.928</v>
      </c>
      <c r="F8" s="38">
        <f t="shared" si="2"/>
        <v>10953025.639</v>
      </c>
      <c r="G8" s="38">
        <f t="shared" si="2"/>
        <v>10882073.144</v>
      </c>
      <c r="H8" s="38">
        <f t="shared" si="2"/>
        <v>10860577.41</v>
      </c>
      <c r="I8" s="38">
        <f t="shared" si="2"/>
        <v>11047482.74107514</v>
      </c>
      <c r="J8" s="38">
        <f t="shared" si="2"/>
        <v>11217226.054</v>
      </c>
      <c r="K8" s="38">
        <f t="shared" si="2"/>
        <v>11233509.655000001</v>
      </c>
      <c r="L8" s="38">
        <f t="shared" si="2"/>
        <v>11137038.735</v>
      </c>
      <c r="M8" s="38">
        <f t="shared" si="2"/>
        <v>11227277.623</v>
      </c>
    </row>
    <row r="9" spans="1:13" ht="14.25" customHeight="1">
      <c r="A9" s="40" t="s">
        <v>12</v>
      </c>
      <c r="B9" s="35">
        <f aca="true" t="shared" si="3" ref="B9:G9">B11+B12</f>
        <v>3961510.738</v>
      </c>
      <c r="C9" s="35">
        <f t="shared" si="3"/>
        <v>4075207.867</v>
      </c>
      <c r="D9" s="35">
        <f t="shared" si="3"/>
        <v>3931885.4499999997</v>
      </c>
      <c r="E9" s="35">
        <f t="shared" si="3"/>
        <v>4044334.7920000004</v>
      </c>
      <c r="F9" s="35">
        <f t="shared" si="3"/>
        <v>3985132.963</v>
      </c>
      <c r="G9" s="35">
        <f t="shared" si="3"/>
        <v>4050929.326</v>
      </c>
      <c r="H9" s="35">
        <f aca="true" t="shared" si="4" ref="H9:M9">H11+H12</f>
        <v>4062194.703</v>
      </c>
      <c r="I9" s="35">
        <f t="shared" si="4"/>
        <v>4165542.329616</v>
      </c>
      <c r="J9" s="35">
        <f t="shared" si="4"/>
        <v>4183127.543</v>
      </c>
      <c r="K9" s="35">
        <f t="shared" si="4"/>
        <v>4152399.7539999997</v>
      </c>
      <c r="L9" s="35">
        <f t="shared" si="4"/>
        <v>4094840.733</v>
      </c>
      <c r="M9" s="35">
        <f t="shared" si="4"/>
        <v>4186194.534</v>
      </c>
    </row>
    <row r="10" spans="1:13" ht="13.5">
      <c r="A10" s="47" t="s">
        <v>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3.5">
      <c r="A11" s="46" t="s">
        <v>10</v>
      </c>
      <c r="B11" s="38">
        <v>121933.417</v>
      </c>
      <c r="C11" s="38">
        <v>121463.222</v>
      </c>
      <c r="D11" s="38">
        <v>120682.816</v>
      </c>
      <c r="E11" s="38">
        <v>120133.927</v>
      </c>
      <c r="F11" s="38">
        <v>119634.039</v>
      </c>
      <c r="G11" s="38">
        <v>118970.94</v>
      </c>
      <c r="H11" s="38">
        <v>118194.657</v>
      </c>
      <c r="I11" s="38">
        <v>116966.9965</v>
      </c>
      <c r="J11" s="38">
        <v>116031.052</v>
      </c>
      <c r="K11" s="38">
        <v>115618.739</v>
      </c>
      <c r="L11" s="38">
        <v>114854.479</v>
      </c>
      <c r="M11" s="38">
        <v>114382.693</v>
      </c>
    </row>
    <row r="12" spans="1:13" ht="26.25">
      <c r="A12" s="46" t="s">
        <v>34</v>
      </c>
      <c r="B12" s="38">
        <f>2814098.458+1025478.863</f>
        <v>3839577.321</v>
      </c>
      <c r="C12" s="38">
        <f>2908650.619+1045094.026</f>
        <v>3953744.645</v>
      </c>
      <c r="D12" s="38">
        <f>2748063.448+1063139.186</f>
        <v>3811202.6339999996</v>
      </c>
      <c r="E12" s="38">
        <f>2817030.381+1107170.484</f>
        <v>3924200.865</v>
      </c>
      <c r="F12" s="38">
        <f>2743312.339+1122186.585</f>
        <v>3865498.924</v>
      </c>
      <c r="G12" s="38">
        <f>2791969.781+1139988.605</f>
        <v>3931958.386</v>
      </c>
      <c r="H12" s="38">
        <v>3944000.046</v>
      </c>
      <c r="I12" s="38">
        <v>4048575.333116</v>
      </c>
      <c r="J12" s="38">
        <f>2864046.962+1203049.529</f>
        <v>4067096.491</v>
      </c>
      <c r="K12" s="38">
        <f>2816587.676+1220193.339</f>
        <v>4036781.0149999997</v>
      </c>
      <c r="L12" s="38">
        <f>2761885.615+1218100.639</f>
        <v>3979986.254</v>
      </c>
      <c r="M12" s="38">
        <f>2814102.348+1257709.493</f>
        <v>4071811.841</v>
      </c>
    </row>
    <row r="13" spans="1:13" ht="13.5">
      <c r="A13" s="40" t="s">
        <v>14</v>
      </c>
      <c r="B13" s="35">
        <f aca="true" t="shared" si="5" ref="B13:G13">B15+B16</f>
        <v>5942294.056</v>
      </c>
      <c r="C13" s="35">
        <f t="shared" si="5"/>
        <v>6003136.915</v>
      </c>
      <c r="D13" s="35">
        <f t="shared" si="5"/>
        <v>6650209.527</v>
      </c>
      <c r="E13" s="35">
        <f t="shared" si="5"/>
        <v>7090220.063</v>
      </c>
      <c r="F13" s="35">
        <f t="shared" si="5"/>
        <v>7087526.715</v>
      </c>
      <c r="G13" s="35">
        <f t="shared" si="5"/>
        <v>6950114.757999999</v>
      </c>
      <c r="H13" s="35">
        <f aca="true" t="shared" si="6" ref="H13:M13">H15+H16</f>
        <v>6916577.364</v>
      </c>
      <c r="I13" s="35">
        <f t="shared" si="6"/>
        <v>6998907.40795914</v>
      </c>
      <c r="J13" s="35">
        <f t="shared" si="6"/>
        <v>7150129.563</v>
      </c>
      <c r="K13" s="35">
        <f t="shared" si="6"/>
        <v>7196728.640000001</v>
      </c>
      <c r="L13" s="35">
        <f t="shared" si="6"/>
        <v>7157052.481</v>
      </c>
      <c r="M13" s="35">
        <f t="shared" si="6"/>
        <v>7155465.782</v>
      </c>
    </row>
    <row r="14" spans="1:13" ht="13.5">
      <c r="A14" s="45" t="s">
        <v>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13.5">
      <c r="A15" s="46" t="s">
        <v>10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</row>
    <row r="16" spans="1:13" ht="26.25">
      <c r="A16" s="46" t="s">
        <v>34</v>
      </c>
      <c r="B16" s="38">
        <f>5025233.345+917060.711</f>
        <v>5942294.056</v>
      </c>
      <c r="C16" s="38">
        <f>5061565.51+941571.405</f>
        <v>6003136.915</v>
      </c>
      <c r="D16" s="38">
        <f>5681706.296+968503.231</f>
        <v>6650209.527</v>
      </c>
      <c r="E16" s="38">
        <f>6078184.588+1012035.475</f>
        <v>7090220.063</v>
      </c>
      <c r="F16" s="38">
        <f>6106128.515+981398.2</f>
        <v>7087526.715</v>
      </c>
      <c r="G16" s="38">
        <f>5998676.129+951438.629</f>
        <v>6950114.757999999</v>
      </c>
      <c r="H16" s="38">
        <v>6916577.364</v>
      </c>
      <c r="I16" s="38">
        <v>6998907.40795914</v>
      </c>
      <c r="J16" s="38">
        <f>6295435.74+854693.823</f>
        <v>7150129.563</v>
      </c>
      <c r="K16" s="38">
        <f>6368459.791+828268.849</f>
        <v>7196728.640000001</v>
      </c>
      <c r="L16" s="38">
        <f>6374199.142+782853.339</f>
        <v>7157052.481</v>
      </c>
      <c r="M16" s="38">
        <f>6421559.401+733906.381</f>
        <v>7155465.782</v>
      </c>
    </row>
    <row r="17" spans="1:5" ht="15">
      <c r="A17" s="48"/>
      <c r="B17" s="48"/>
      <c r="E17" s="52"/>
    </row>
  </sheetData>
  <sheetProtection/>
  <mergeCells count="3">
    <mergeCell ref="A1:J1"/>
    <mergeCell ref="A2:J2"/>
    <mergeCell ref="B3:M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7"/>
  <sheetViews>
    <sheetView zoomScale="98" zoomScaleNormal="98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4" sqref="A14"/>
    </sheetView>
  </sheetViews>
  <sheetFormatPr defaultColWidth="9.25390625" defaultRowHeight="12.75"/>
  <cols>
    <col min="1" max="1" width="42.00390625" style="49" customWidth="1"/>
    <col min="2" max="8" width="9.50390625" style="49" customWidth="1"/>
    <col min="9" max="9" width="9.50390625" style="49" bestFit="1" customWidth="1"/>
    <col min="10" max="10" width="9.50390625" style="49" customWidth="1"/>
    <col min="11" max="12" width="9.25390625" style="49" customWidth="1"/>
    <col min="13" max="13" width="9.75390625" style="49" customWidth="1"/>
    <col min="14" max="16384" width="9.25390625" style="49" customWidth="1"/>
  </cols>
  <sheetData>
    <row r="1" spans="1:12" ht="37.5" customHeight="1">
      <c r="A1" s="58" t="s">
        <v>53</v>
      </c>
      <c r="B1" s="58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3" ht="24.75" customHeight="1">
      <c r="A2" s="63" t="s">
        <v>31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5" customHeight="1">
      <c r="A3" s="44" t="s">
        <v>0</v>
      </c>
      <c r="B3" s="75">
        <v>2014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7"/>
    </row>
    <row r="4" spans="1:13" ht="20.25" customHeight="1">
      <c r="A4" s="44" t="s">
        <v>1</v>
      </c>
      <c r="B4" s="33" t="s">
        <v>40</v>
      </c>
      <c r="C4" s="33" t="s">
        <v>41</v>
      </c>
      <c r="D4" s="33" t="s">
        <v>42</v>
      </c>
      <c r="E4" s="33" t="s">
        <v>43</v>
      </c>
      <c r="F4" s="33" t="s">
        <v>44</v>
      </c>
      <c r="G4" s="33" t="s">
        <v>45</v>
      </c>
      <c r="H4" s="33" t="s">
        <v>46</v>
      </c>
      <c r="I4" s="33" t="s">
        <v>47</v>
      </c>
      <c r="J4" s="33" t="s">
        <v>48</v>
      </c>
      <c r="K4" s="33" t="s">
        <v>49</v>
      </c>
      <c r="L4" s="33" t="s">
        <v>50</v>
      </c>
      <c r="M4" s="33" t="s">
        <v>51</v>
      </c>
    </row>
    <row r="5" spans="1:13" ht="13.5">
      <c r="A5" s="40" t="s">
        <v>5</v>
      </c>
      <c r="B5" s="35">
        <f aca="true" t="shared" si="0" ref="B5:M5">B9+B13</f>
        <v>7670793.835999999</v>
      </c>
      <c r="C5" s="35">
        <f t="shared" si="0"/>
        <v>7876516.898</v>
      </c>
      <c r="D5" s="35">
        <f t="shared" si="0"/>
        <v>8037235.327</v>
      </c>
      <c r="E5" s="35">
        <f t="shared" si="0"/>
        <v>8419430.04</v>
      </c>
      <c r="F5" s="35">
        <f t="shared" si="0"/>
        <v>8600475.872</v>
      </c>
      <c r="G5" s="35">
        <f t="shared" si="0"/>
        <v>8705025.681</v>
      </c>
      <c r="H5" s="35">
        <f t="shared" si="0"/>
        <v>8854172.18</v>
      </c>
      <c r="I5" s="35">
        <f t="shared" si="0"/>
        <v>8944632.848000001</v>
      </c>
      <c r="J5" s="35">
        <f t="shared" si="0"/>
        <v>9160986.354</v>
      </c>
      <c r="K5" s="35">
        <f t="shared" si="0"/>
        <v>9271241.688</v>
      </c>
      <c r="L5" s="35">
        <f t="shared" si="0"/>
        <v>9343775.575000001</v>
      </c>
      <c r="M5" s="35">
        <f t="shared" si="0"/>
        <v>9783195.382000001</v>
      </c>
    </row>
    <row r="6" spans="1:13" ht="13.5">
      <c r="A6" s="45" t="s">
        <v>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3.5">
      <c r="A7" s="46" t="s">
        <v>10</v>
      </c>
      <c r="B7" s="38">
        <f aca="true" t="shared" si="1" ref="B7:M7">B11+B15</f>
        <v>132934.338</v>
      </c>
      <c r="C7" s="38">
        <f t="shared" si="1"/>
        <v>132142.831</v>
      </c>
      <c r="D7" s="38">
        <f t="shared" si="1"/>
        <v>131274.175</v>
      </c>
      <c r="E7" s="38">
        <f t="shared" si="1"/>
        <v>130845.113</v>
      </c>
      <c r="F7" s="38">
        <f t="shared" si="1"/>
        <v>130438.633</v>
      </c>
      <c r="G7" s="38">
        <f t="shared" si="1"/>
        <v>129797.27</v>
      </c>
      <c r="H7" s="38">
        <f t="shared" si="1"/>
        <v>126977.784</v>
      </c>
      <c r="I7" s="38">
        <f t="shared" si="1"/>
        <v>122900.743</v>
      </c>
      <c r="J7" s="38">
        <f t="shared" si="1"/>
        <v>122559.41</v>
      </c>
      <c r="K7" s="38">
        <f t="shared" si="1"/>
        <v>122363.528</v>
      </c>
      <c r="L7" s="38">
        <f t="shared" si="1"/>
        <v>122346.871</v>
      </c>
      <c r="M7" s="38">
        <f t="shared" si="1"/>
        <v>121909.31</v>
      </c>
    </row>
    <row r="8" spans="1:13" ht="26.25">
      <c r="A8" s="46" t="s">
        <v>34</v>
      </c>
      <c r="B8" s="38">
        <f aca="true" t="shared" si="2" ref="B8:M8">B12+B16</f>
        <v>7537859.498</v>
      </c>
      <c r="C8" s="38">
        <f t="shared" si="2"/>
        <v>7744374.067</v>
      </c>
      <c r="D8" s="38">
        <f t="shared" si="2"/>
        <v>7905961.151999999</v>
      </c>
      <c r="E8" s="38">
        <f t="shared" si="2"/>
        <v>8288584.927</v>
      </c>
      <c r="F8" s="38">
        <f t="shared" si="2"/>
        <v>8470037.239</v>
      </c>
      <c r="G8" s="38">
        <f t="shared" si="2"/>
        <v>8575228.410999998</v>
      </c>
      <c r="H8" s="38">
        <f t="shared" si="2"/>
        <v>8727194.396</v>
      </c>
      <c r="I8" s="38">
        <f t="shared" si="2"/>
        <v>8821732.105</v>
      </c>
      <c r="J8" s="38">
        <f t="shared" si="2"/>
        <v>9038426.944</v>
      </c>
      <c r="K8" s="38">
        <f t="shared" si="2"/>
        <v>9148878.16</v>
      </c>
      <c r="L8" s="38">
        <f t="shared" si="2"/>
        <v>9221428.704</v>
      </c>
      <c r="M8" s="38">
        <f t="shared" si="2"/>
        <v>9661286.072</v>
      </c>
    </row>
    <row r="9" spans="1:13" ht="14.25" customHeight="1">
      <c r="A9" s="40" t="s">
        <v>12</v>
      </c>
      <c r="B9" s="35">
        <f aca="true" t="shared" si="3" ref="B9:G9">B11+B12</f>
        <v>3106021.247</v>
      </c>
      <c r="C9" s="35">
        <f t="shared" si="3"/>
        <v>3200619.0300000003</v>
      </c>
      <c r="D9" s="35">
        <f t="shared" si="3"/>
        <v>3264154.2569999998</v>
      </c>
      <c r="E9" s="35">
        <f t="shared" si="3"/>
        <v>3566947.7529999996</v>
      </c>
      <c r="F9" s="35">
        <f t="shared" si="3"/>
        <v>3589459.372</v>
      </c>
      <c r="G9" s="35">
        <f t="shared" si="3"/>
        <v>3667060.911</v>
      </c>
      <c r="H9" s="35">
        <f aca="true" t="shared" si="4" ref="H9:M9">H11+H12</f>
        <v>3687189.119</v>
      </c>
      <c r="I9" s="35">
        <f t="shared" si="4"/>
        <v>3673024.904</v>
      </c>
      <c r="J9" s="35">
        <f t="shared" si="4"/>
        <v>3786847.608</v>
      </c>
      <c r="K9" s="35">
        <f t="shared" si="4"/>
        <v>3847250.712</v>
      </c>
      <c r="L9" s="35">
        <f t="shared" si="4"/>
        <v>3817747.446</v>
      </c>
      <c r="M9" s="35">
        <f t="shared" si="4"/>
        <v>3905773.72</v>
      </c>
    </row>
    <row r="10" spans="1:13" ht="13.5">
      <c r="A10" s="47" t="s">
        <v>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3.5">
      <c r="A11" s="46" t="s">
        <v>10</v>
      </c>
      <c r="B11" s="38">
        <v>132934.338</v>
      </c>
      <c r="C11" s="38">
        <v>132142.831</v>
      </c>
      <c r="D11" s="38">
        <v>131274.175</v>
      </c>
      <c r="E11" s="38">
        <v>130845.113</v>
      </c>
      <c r="F11" s="38">
        <v>130438.633</v>
      </c>
      <c r="G11" s="38">
        <v>129797.27</v>
      </c>
      <c r="H11" s="38">
        <v>126977.784</v>
      </c>
      <c r="I11" s="38">
        <v>122900.743</v>
      </c>
      <c r="J11" s="38">
        <v>122559.41</v>
      </c>
      <c r="K11" s="38">
        <v>122363.528</v>
      </c>
      <c r="L11" s="38">
        <v>122346.871</v>
      </c>
      <c r="M11" s="38">
        <v>121909.31</v>
      </c>
    </row>
    <row r="12" spans="1:13" ht="26.25">
      <c r="A12" s="46" t="s">
        <v>34</v>
      </c>
      <c r="B12" s="38">
        <f>2087187.008+885899.901</f>
        <v>2973086.909</v>
      </c>
      <c r="C12" s="38">
        <f>2179463.543+889012.656</f>
        <v>3068476.199</v>
      </c>
      <c r="D12" s="38">
        <f>2238893.679+893986.403</f>
        <v>3132880.082</v>
      </c>
      <c r="E12" s="38">
        <f>2523464.26+912638.38</f>
        <v>3436102.6399999997</v>
      </c>
      <c r="F12" s="38">
        <f>2537667.944+921352.795</f>
        <v>3459020.739</v>
      </c>
      <c r="G12" s="38">
        <f>2616048.551+921215.09</f>
        <v>3537263.641</v>
      </c>
      <c r="H12" s="38">
        <f>2658436.998+901774.337</f>
        <v>3560211.335</v>
      </c>
      <c r="I12" s="38">
        <f>2657349.856+892774.305</f>
        <v>3550124.1610000003</v>
      </c>
      <c r="J12" s="38">
        <f>2772195.813+892092.385</f>
        <v>3664288.198</v>
      </c>
      <c r="K12" s="38">
        <f>2818677.221+906209.963</f>
        <v>3724887.184</v>
      </c>
      <c r="L12" s="38">
        <f>2761742.109+933658.466</f>
        <v>3695400.575</v>
      </c>
      <c r="M12" s="38">
        <f>2772946.316+1010918.094</f>
        <v>3783864.41</v>
      </c>
    </row>
    <row r="13" spans="1:13" ht="13.5">
      <c r="A13" s="40" t="s">
        <v>14</v>
      </c>
      <c r="B13" s="35">
        <f aca="true" t="shared" si="5" ref="B13:G13">B15+B16</f>
        <v>4564772.589</v>
      </c>
      <c r="C13" s="35">
        <f t="shared" si="5"/>
        <v>4675897.868</v>
      </c>
      <c r="D13" s="35">
        <f t="shared" si="5"/>
        <v>4773081.069999999</v>
      </c>
      <c r="E13" s="35">
        <f t="shared" si="5"/>
        <v>4852482.2870000005</v>
      </c>
      <c r="F13" s="35">
        <f t="shared" si="5"/>
        <v>5011016.5</v>
      </c>
      <c r="G13" s="35">
        <f t="shared" si="5"/>
        <v>5037964.77</v>
      </c>
      <c r="H13" s="35">
        <f aca="true" t="shared" si="6" ref="H13:M13">H15+H16</f>
        <v>5166983.061</v>
      </c>
      <c r="I13" s="35">
        <f t="shared" si="6"/>
        <v>5271607.944</v>
      </c>
      <c r="J13" s="35">
        <f t="shared" si="6"/>
        <v>5374138.746</v>
      </c>
      <c r="K13" s="35">
        <f t="shared" si="6"/>
        <v>5423990.976</v>
      </c>
      <c r="L13" s="35">
        <f t="shared" si="6"/>
        <v>5526028.129000001</v>
      </c>
      <c r="M13" s="35">
        <f t="shared" si="6"/>
        <v>5877421.6620000005</v>
      </c>
    </row>
    <row r="14" spans="1:13" ht="13.5">
      <c r="A14" s="45" t="s">
        <v>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13.5">
      <c r="A15" s="46" t="s">
        <v>10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</row>
    <row r="16" spans="1:13" ht="26.25">
      <c r="A16" s="46" t="s">
        <v>34</v>
      </c>
      <c r="B16" s="38">
        <f>4099579.911+465192.678</f>
        <v>4564772.589</v>
      </c>
      <c r="C16" s="38">
        <f>4167974.889+507922.979</f>
        <v>4675897.868</v>
      </c>
      <c r="D16" s="38">
        <f>4228760.935+544320.135</f>
        <v>4773081.069999999</v>
      </c>
      <c r="E16" s="38">
        <f>4247206.286+605276.001</f>
        <v>4852482.2870000005</v>
      </c>
      <c r="F16" s="38">
        <f>4366843.973+644172.527</f>
        <v>5011016.5</v>
      </c>
      <c r="G16" s="38">
        <f>4358236.918+679727.852</f>
        <v>5037964.77</v>
      </c>
      <c r="H16" s="38">
        <f>4451383.504+715599.557</f>
        <v>5166983.061</v>
      </c>
      <c r="I16" s="38">
        <f>4512066.369+759541.575</f>
        <v>5271607.944</v>
      </c>
      <c r="J16" s="38">
        <f>4578064.252+796074.494</f>
        <v>5374138.746</v>
      </c>
      <c r="K16" s="38">
        <f>4615338.413+808652.563</f>
        <v>5423990.976</v>
      </c>
      <c r="L16" s="38">
        <f>4698029.751+827998.378</f>
        <v>5526028.129000001</v>
      </c>
      <c r="M16" s="38">
        <f>4994080.917+883340.745</f>
        <v>5877421.6620000005</v>
      </c>
    </row>
    <row r="17" spans="1:2" ht="15">
      <c r="A17" s="48"/>
      <c r="B17" s="48"/>
    </row>
  </sheetData>
  <sheetProtection/>
  <mergeCells count="3">
    <mergeCell ref="A1:L1"/>
    <mergeCell ref="B3:M3"/>
    <mergeCell ref="A2:M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9" sqref="A19"/>
    </sheetView>
  </sheetViews>
  <sheetFormatPr defaultColWidth="9.25390625" defaultRowHeight="12.75"/>
  <cols>
    <col min="1" max="1" width="42.00390625" style="49" customWidth="1"/>
    <col min="2" max="2" width="10.75390625" style="49" customWidth="1"/>
    <col min="3" max="3" width="9.75390625" style="49" customWidth="1"/>
    <col min="4" max="4" width="10.00390625" style="49" customWidth="1"/>
    <col min="5" max="5" width="9.75390625" style="49" customWidth="1"/>
    <col min="6" max="6" width="9.25390625" style="49" customWidth="1"/>
    <col min="7" max="7" width="9.75390625" style="49" customWidth="1"/>
    <col min="8" max="8" width="10.25390625" style="49" customWidth="1"/>
    <col min="9" max="9" width="10.50390625" style="49" customWidth="1"/>
    <col min="10" max="11" width="9.25390625" style="49" customWidth="1"/>
    <col min="12" max="12" width="9.50390625" style="49" customWidth="1"/>
    <col min="13" max="16384" width="9.25390625" style="49" customWidth="1"/>
  </cols>
  <sheetData>
    <row r="1" spans="1:12" ht="37.5" customHeight="1">
      <c r="A1" s="58" t="s">
        <v>52</v>
      </c>
      <c r="B1" s="58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3" ht="33" customHeight="1">
      <c r="A2" s="63" t="s">
        <v>31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5" customHeight="1">
      <c r="A3" s="44" t="s">
        <v>0</v>
      </c>
      <c r="B3" s="78">
        <v>2013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20.25" customHeight="1">
      <c r="A4" s="44" t="s">
        <v>1</v>
      </c>
      <c r="B4" s="33" t="s">
        <v>40</v>
      </c>
      <c r="C4" s="33" t="s">
        <v>41</v>
      </c>
      <c r="D4" s="33" t="s">
        <v>42</v>
      </c>
      <c r="E4" s="33" t="s">
        <v>43</v>
      </c>
      <c r="F4" s="33" t="s">
        <v>44</v>
      </c>
      <c r="G4" s="33" t="s">
        <v>45</v>
      </c>
      <c r="H4" s="33" t="s">
        <v>46</v>
      </c>
      <c r="I4" s="33" t="s">
        <v>47</v>
      </c>
      <c r="J4" s="33" t="s">
        <v>48</v>
      </c>
      <c r="K4" s="33" t="s">
        <v>49</v>
      </c>
      <c r="L4" s="33" t="s">
        <v>50</v>
      </c>
      <c r="M4" s="33" t="s">
        <v>51</v>
      </c>
    </row>
    <row r="5" spans="1:13" ht="13.5">
      <c r="A5" s="40" t="s">
        <v>5</v>
      </c>
      <c r="B5" s="35">
        <f aca="true" t="shared" si="0" ref="B5:M5">B9+B13</f>
        <v>5493258.045</v>
      </c>
      <c r="C5" s="35">
        <f t="shared" si="0"/>
        <v>5679069.591</v>
      </c>
      <c r="D5" s="35">
        <f t="shared" si="0"/>
        <v>5748688.808</v>
      </c>
      <c r="E5" s="35">
        <f t="shared" si="0"/>
        <v>6083053.495</v>
      </c>
      <c r="F5" s="35">
        <f t="shared" si="0"/>
        <v>6275179.65</v>
      </c>
      <c r="G5" s="35">
        <f t="shared" si="0"/>
        <v>6497521.621</v>
      </c>
      <c r="H5" s="35">
        <f t="shared" si="0"/>
        <v>6702997.178</v>
      </c>
      <c r="I5" s="35">
        <f t="shared" si="0"/>
        <v>6884588.582</v>
      </c>
      <c r="J5" s="35">
        <f t="shared" si="0"/>
        <v>7050579.337</v>
      </c>
      <c r="K5" s="35">
        <f t="shared" si="0"/>
        <v>7290933.697999999</v>
      </c>
      <c r="L5" s="35">
        <f t="shared" si="0"/>
        <v>7429159.241</v>
      </c>
      <c r="M5" s="35">
        <f t="shared" si="0"/>
        <v>7530991.131999999</v>
      </c>
    </row>
    <row r="6" spans="1:13" ht="13.5">
      <c r="A6" s="45" t="s">
        <v>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3.5">
      <c r="A7" s="46" t="s">
        <v>10</v>
      </c>
      <c r="B7" s="38">
        <f aca="true" t="shared" si="1" ref="B7:M7">B11+B15</f>
        <v>122806.82</v>
      </c>
      <c r="C7" s="38">
        <f t="shared" si="1"/>
        <v>119412.19</v>
      </c>
      <c r="D7" s="38">
        <f t="shared" si="1"/>
        <v>119685.858</v>
      </c>
      <c r="E7" s="38">
        <f t="shared" si="1"/>
        <v>125238.168</v>
      </c>
      <c r="F7" s="38">
        <f t="shared" si="1"/>
        <v>129467.197</v>
      </c>
      <c r="G7" s="38">
        <f t="shared" si="1"/>
        <v>129655.657</v>
      </c>
      <c r="H7" s="38">
        <f t="shared" si="1"/>
        <v>131738.612</v>
      </c>
      <c r="I7" s="38">
        <f t="shared" si="1"/>
        <v>132079.755</v>
      </c>
      <c r="J7" s="38">
        <f t="shared" si="1"/>
        <v>132851.995</v>
      </c>
      <c r="K7" s="38">
        <f t="shared" si="1"/>
        <v>133123.281</v>
      </c>
      <c r="L7" s="38">
        <f t="shared" si="1"/>
        <v>133147.406</v>
      </c>
      <c r="M7" s="38">
        <f t="shared" si="1"/>
        <v>132946.405</v>
      </c>
    </row>
    <row r="8" spans="1:13" ht="26.25">
      <c r="A8" s="46" t="s">
        <v>34</v>
      </c>
      <c r="B8" s="38">
        <f aca="true" t="shared" si="2" ref="B8:M8">B12+B16</f>
        <v>5370451.225</v>
      </c>
      <c r="C8" s="38">
        <f t="shared" si="2"/>
        <v>5559657.401000001</v>
      </c>
      <c r="D8" s="38">
        <f t="shared" si="2"/>
        <v>5629002.949999999</v>
      </c>
      <c r="E8" s="38">
        <f t="shared" si="2"/>
        <v>5957815.327</v>
      </c>
      <c r="F8" s="38">
        <f t="shared" si="2"/>
        <v>6145712.453</v>
      </c>
      <c r="G8" s="38">
        <f t="shared" si="2"/>
        <v>6367865.964</v>
      </c>
      <c r="H8" s="38">
        <f t="shared" si="2"/>
        <v>6571258.566</v>
      </c>
      <c r="I8" s="38">
        <f t="shared" si="2"/>
        <v>6752508.827</v>
      </c>
      <c r="J8" s="38">
        <f t="shared" si="2"/>
        <v>6917727.342</v>
      </c>
      <c r="K8" s="38">
        <f t="shared" si="2"/>
        <v>7157810.416999999</v>
      </c>
      <c r="L8" s="38">
        <f t="shared" si="2"/>
        <v>7296011.835</v>
      </c>
      <c r="M8" s="38">
        <f t="shared" si="2"/>
        <v>7398044.727</v>
      </c>
    </row>
    <row r="9" spans="1:13" ht="14.25" customHeight="1">
      <c r="A9" s="40" t="s">
        <v>12</v>
      </c>
      <c r="B9" s="35">
        <f aca="true" t="shared" si="3" ref="B9:G9">B11+B12</f>
        <v>2248677.17</v>
      </c>
      <c r="C9" s="35">
        <f t="shared" si="3"/>
        <v>2335918.679</v>
      </c>
      <c r="D9" s="35">
        <f t="shared" si="3"/>
        <v>2367959.445</v>
      </c>
      <c r="E9" s="35">
        <f t="shared" si="3"/>
        <v>2289339.044</v>
      </c>
      <c r="F9" s="35">
        <f t="shared" si="3"/>
        <v>2341964.514</v>
      </c>
      <c r="G9" s="35">
        <f t="shared" si="3"/>
        <v>2478841.6210000003</v>
      </c>
      <c r="H9" s="35">
        <f aca="true" t="shared" si="4" ref="H9:M9">H11+H12</f>
        <v>2565131.163</v>
      </c>
      <c r="I9" s="35">
        <f t="shared" si="4"/>
        <v>2668255.5979999998</v>
      </c>
      <c r="J9" s="35">
        <f t="shared" si="4"/>
        <v>2738883.023</v>
      </c>
      <c r="K9" s="35">
        <f t="shared" si="4"/>
        <v>2925096.4499999997</v>
      </c>
      <c r="L9" s="35">
        <f t="shared" si="4"/>
        <v>3042783.963</v>
      </c>
      <c r="M9" s="35">
        <f t="shared" si="4"/>
        <v>3051979.173</v>
      </c>
    </row>
    <row r="10" spans="1:13" ht="13.5">
      <c r="A10" s="47" t="s">
        <v>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3.5">
      <c r="A11" s="46" t="s">
        <v>10</v>
      </c>
      <c r="B11" s="38">
        <v>122806.82</v>
      </c>
      <c r="C11" s="38">
        <v>119412.19</v>
      </c>
      <c r="D11" s="38">
        <v>119685.858</v>
      </c>
      <c r="E11" s="38">
        <v>125238.168</v>
      </c>
      <c r="F11" s="38">
        <v>129467.197</v>
      </c>
      <c r="G11" s="38">
        <v>129655.657</v>
      </c>
      <c r="H11" s="38">
        <v>131738.612</v>
      </c>
      <c r="I11" s="38">
        <v>132079.755</v>
      </c>
      <c r="J11" s="38">
        <v>132851.995</v>
      </c>
      <c r="K11" s="38">
        <v>133123.281</v>
      </c>
      <c r="L11" s="38">
        <v>133147.406</v>
      </c>
      <c r="M11" s="38">
        <v>132946.405</v>
      </c>
    </row>
    <row r="12" spans="1:13" ht="26.25">
      <c r="A12" s="46" t="s">
        <v>34</v>
      </c>
      <c r="B12" s="38">
        <f>1349389.394+776480.956</f>
        <v>2125870.35</v>
      </c>
      <c r="C12" s="38">
        <f>1429615.562+786890.927</f>
        <v>2216506.489</v>
      </c>
      <c r="D12" s="38">
        <f>1464996.792+783276.795</f>
        <v>2248273.587</v>
      </c>
      <c r="E12" s="38">
        <f>1349914.139+814186.737</f>
        <v>2164100.876</v>
      </c>
      <c r="F12" s="38">
        <f>1382405.146+830092.171</f>
        <v>2212497.317</v>
      </c>
      <c r="G12" s="38">
        <f>1450904.924+898281.04</f>
        <v>2349185.964</v>
      </c>
      <c r="H12" s="38">
        <f>1534527.479+898865.072</f>
        <v>2433392.551</v>
      </c>
      <c r="I12" s="38">
        <f>1634806.596+901369.247</f>
        <v>2536175.843</v>
      </c>
      <c r="J12" s="38">
        <f>1716844.091+889186.937</f>
        <v>2606031.028</v>
      </c>
      <c r="K12" s="38">
        <f>1801097.106+990876.063</f>
        <v>2791973.1689999998</v>
      </c>
      <c r="L12" s="38">
        <f>1925091.322+984545.235</f>
        <v>2909636.557</v>
      </c>
      <c r="M12" s="38">
        <f>2020310.874+898721.894</f>
        <v>2919032.768</v>
      </c>
    </row>
    <row r="13" spans="1:13" ht="13.5">
      <c r="A13" s="40" t="s">
        <v>14</v>
      </c>
      <c r="B13" s="35">
        <f aca="true" t="shared" si="5" ref="B13:G13">B15+B16</f>
        <v>3244580.875</v>
      </c>
      <c r="C13" s="35">
        <f t="shared" si="5"/>
        <v>3343150.912</v>
      </c>
      <c r="D13" s="35">
        <f t="shared" si="5"/>
        <v>3380729.363</v>
      </c>
      <c r="E13" s="35">
        <f t="shared" si="5"/>
        <v>3793714.451</v>
      </c>
      <c r="F13" s="35">
        <f t="shared" si="5"/>
        <v>3933215.1360000004</v>
      </c>
      <c r="G13" s="35">
        <f t="shared" si="5"/>
        <v>4018680</v>
      </c>
      <c r="H13" s="35">
        <f aca="true" t="shared" si="6" ref="H13:M13">H15+H16</f>
        <v>4137866.015</v>
      </c>
      <c r="I13" s="35">
        <f t="shared" si="6"/>
        <v>4216332.984</v>
      </c>
      <c r="J13" s="35">
        <f t="shared" si="6"/>
        <v>4311696.314</v>
      </c>
      <c r="K13" s="35">
        <f t="shared" si="6"/>
        <v>4365837.248</v>
      </c>
      <c r="L13" s="35">
        <f t="shared" si="6"/>
        <v>4386375.278</v>
      </c>
      <c r="M13" s="35">
        <f t="shared" si="6"/>
        <v>4479011.959</v>
      </c>
    </row>
    <row r="14" spans="1:13" ht="13.5">
      <c r="A14" s="45" t="s">
        <v>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13.5">
      <c r="A15" s="46" t="s">
        <v>10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</row>
    <row r="16" spans="1:13" ht="26.25">
      <c r="A16" s="46" t="s">
        <v>34</v>
      </c>
      <c r="B16" s="38">
        <f>3061713.518+182867.357</f>
        <v>3244580.875</v>
      </c>
      <c r="C16" s="38">
        <f>3127382.74+215768.172</f>
        <v>3343150.912</v>
      </c>
      <c r="D16" s="38">
        <f>3151594.184+229135.179</f>
        <v>3380729.363</v>
      </c>
      <c r="E16" s="38">
        <f>3543961.182+249753.269</f>
        <v>3793714.451</v>
      </c>
      <c r="F16" s="38">
        <f>3670236.007+262979.129</f>
        <v>3933215.1360000004</v>
      </c>
      <c r="G16" s="38">
        <f>3737055.385+281624.615</f>
        <v>4018680</v>
      </c>
      <c r="H16" s="38">
        <f>3830308.875+307557.14</f>
        <v>4137866.015</v>
      </c>
      <c r="I16" s="38">
        <f>3886405.951+329927.033</f>
        <v>4216332.984</v>
      </c>
      <c r="J16" s="38">
        <f>3944094.994+367601.32</f>
        <v>4311696.314</v>
      </c>
      <c r="K16" s="38">
        <f>3961337.937+404499.311</f>
        <v>4365837.248</v>
      </c>
      <c r="L16" s="38">
        <f>3948125.609+438249.669</f>
        <v>4386375.278</v>
      </c>
      <c r="M16" s="38">
        <f>4002046.752+476965.207</f>
        <v>4479011.959</v>
      </c>
    </row>
    <row r="17" spans="1:2" ht="15">
      <c r="A17" s="48"/>
      <c r="B17" s="48"/>
    </row>
  </sheetData>
  <sheetProtection/>
  <mergeCells count="3">
    <mergeCell ref="A1:L1"/>
    <mergeCell ref="B3:M3"/>
    <mergeCell ref="A2:M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2" sqref="A12"/>
    </sheetView>
  </sheetViews>
  <sheetFormatPr defaultColWidth="9.00390625" defaultRowHeight="12.75"/>
  <cols>
    <col min="1" max="1" width="41.25390625" style="0" bestFit="1" customWidth="1"/>
    <col min="2" max="2" width="10.75390625" style="0" customWidth="1"/>
    <col min="3" max="3" width="10.50390625" style="0" customWidth="1"/>
    <col min="4" max="4" width="11.25390625" style="0" customWidth="1"/>
    <col min="5" max="5" width="10.50390625" style="0" customWidth="1"/>
    <col min="6" max="6" width="9.75390625" style="0" customWidth="1"/>
    <col min="7" max="9" width="10.25390625" style="0" customWidth="1"/>
    <col min="12" max="12" width="11.00390625" style="0" bestFit="1" customWidth="1"/>
    <col min="13" max="13" width="10.25390625" style="0" customWidth="1"/>
  </cols>
  <sheetData>
    <row r="1" spans="1:12" ht="22.5" customHeight="1">
      <c r="A1" s="79" t="s">
        <v>33</v>
      </c>
      <c r="B1" s="79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3" ht="14.25" customHeight="1">
      <c r="A2" s="82" t="s">
        <v>31</v>
      </c>
      <c r="B2" s="82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3.5">
      <c r="A3" s="32" t="s">
        <v>0</v>
      </c>
      <c r="B3" s="80">
        <v>2012</v>
      </c>
      <c r="C3" s="81"/>
      <c r="D3" s="81"/>
      <c r="E3" s="81"/>
      <c r="F3" s="81"/>
      <c r="G3" s="81"/>
      <c r="H3" s="81"/>
      <c r="I3" s="81"/>
      <c r="J3" s="81"/>
      <c r="K3" s="81"/>
      <c r="L3" s="69"/>
      <c r="M3" s="70"/>
    </row>
    <row r="4" spans="1:13" ht="13.5">
      <c r="A4" s="32" t="s">
        <v>1</v>
      </c>
      <c r="B4" s="24" t="s">
        <v>40</v>
      </c>
      <c r="C4" s="24" t="s">
        <v>41</v>
      </c>
      <c r="D4" s="24" t="s">
        <v>42</v>
      </c>
      <c r="E4" s="24" t="s">
        <v>43</v>
      </c>
      <c r="F4" s="24" t="s">
        <v>44</v>
      </c>
      <c r="G4" s="24" t="s">
        <v>45</v>
      </c>
      <c r="H4" s="24" t="s">
        <v>46</v>
      </c>
      <c r="I4" s="33" t="s">
        <v>47</v>
      </c>
      <c r="J4" s="33" t="s">
        <v>48</v>
      </c>
      <c r="K4" s="33" t="s">
        <v>49</v>
      </c>
      <c r="L4" s="33" t="s">
        <v>50</v>
      </c>
      <c r="M4" s="33" t="s">
        <v>51</v>
      </c>
    </row>
    <row r="5" spans="1:13" ht="13.5">
      <c r="A5" s="34" t="s">
        <v>5</v>
      </c>
      <c r="B5" s="27">
        <f aca="true" t="shared" si="0" ref="B5:M5">B9+B13</f>
        <v>4837930.616</v>
      </c>
      <c r="C5" s="27">
        <f t="shared" si="0"/>
        <v>4837618.373</v>
      </c>
      <c r="D5" s="27">
        <f t="shared" si="0"/>
        <v>4817740.96</v>
      </c>
      <c r="E5" s="27">
        <f t="shared" si="0"/>
        <v>4399388.880999999</v>
      </c>
      <c r="F5" s="27">
        <f t="shared" si="0"/>
        <v>4484986.66</v>
      </c>
      <c r="G5" s="27">
        <f t="shared" si="0"/>
        <v>4554800.415</v>
      </c>
      <c r="H5" s="27">
        <f t="shared" si="0"/>
        <v>4724472.776</v>
      </c>
      <c r="I5" s="27">
        <f t="shared" si="0"/>
        <v>4899591.636</v>
      </c>
      <c r="J5" s="27">
        <f t="shared" si="0"/>
        <v>5113390.193</v>
      </c>
      <c r="K5" s="27">
        <f t="shared" si="0"/>
        <v>5133560.851</v>
      </c>
      <c r="L5" s="27">
        <f t="shared" si="0"/>
        <v>5141094.493000001</v>
      </c>
      <c r="M5" s="27">
        <f t="shared" si="0"/>
        <v>5421302.313999999</v>
      </c>
    </row>
    <row r="6" spans="1:13" ht="13.5">
      <c r="A6" s="36" t="s">
        <v>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13.5">
      <c r="A7" s="39" t="s">
        <v>10</v>
      </c>
      <c r="B7" s="29">
        <f aca="true" t="shared" si="1" ref="B7:M7">B11+B15</f>
        <v>200073.52</v>
      </c>
      <c r="C7" s="29">
        <f t="shared" si="1"/>
        <v>150028.066</v>
      </c>
      <c r="D7" s="29">
        <f t="shared" si="1"/>
        <v>100315.297</v>
      </c>
      <c r="E7" s="29">
        <f t="shared" si="1"/>
        <v>99363.321</v>
      </c>
      <c r="F7" s="29">
        <f t="shared" si="1"/>
        <v>99083.443</v>
      </c>
      <c r="G7" s="29">
        <f t="shared" si="1"/>
        <v>98353.226</v>
      </c>
      <c r="H7" s="29">
        <f t="shared" si="1"/>
        <v>98524.808</v>
      </c>
      <c r="I7" s="29">
        <f t="shared" si="1"/>
        <v>103960.286</v>
      </c>
      <c r="J7" s="29">
        <f t="shared" si="1"/>
        <v>108354.966</v>
      </c>
      <c r="K7" s="29">
        <f t="shared" si="1"/>
        <v>111723.988</v>
      </c>
      <c r="L7" s="29">
        <f t="shared" si="1"/>
        <v>115430.941</v>
      </c>
      <c r="M7" s="29">
        <f t="shared" si="1"/>
        <v>121349.785</v>
      </c>
    </row>
    <row r="8" spans="1:13" ht="26.25">
      <c r="A8" s="39" t="s">
        <v>34</v>
      </c>
      <c r="B8" s="29">
        <f aca="true" t="shared" si="2" ref="B8:M8">B12+B16</f>
        <v>4637857.096</v>
      </c>
      <c r="C8" s="29">
        <f t="shared" si="2"/>
        <v>4687590.307</v>
      </c>
      <c r="D8" s="29">
        <f t="shared" si="2"/>
        <v>4717425.663000001</v>
      </c>
      <c r="E8" s="29">
        <f t="shared" si="2"/>
        <v>4300025.56</v>
      </c>
      <c r="F8" s="29">
        <f t="shared" si="2"/>
        <v>4385903.217</v>
      </c>
      <c r="G8" s="29">
        <f t="shared" si="2"/>
        <v>4456447.189</v>
      </c>
      <c r="H8" s="29">
        <f t="shared" si="2"/>
        <v>4625947.968</v>
      </c>
      <c r="I8" s="29">
        <f t="shared" si="2"/>
        <v>4795631.35</v>
      </c>
      <c r="J8" s="29">
        <f t="shared" si="2"/>
        <v>5005035.227</v>
      </c>
      <c r="K8" s="29">
        <f t="shared" si="2"/>
        <v>5021836.863</v>
      </c>
      <c r="L8" s="29">
        <f t="shared" si="2"/>
        <v>5025663.552</v>
      </c>
      <c r="M8" s="29">
        <f t="shared" si="2"/>
        <v>5299952.528999999</v>
      </c>
    </row>
    <row r="9" spans="1:13" ht="14.25" customHeight="1">
      <c r="A9" s="40" t="s">
        <v>12</v>
      </c>
      <c r="B9" s="27">
        <f aca="true" t="shared" si="3" ref="B9:K9">B11+B12</f>
        <v>2133263.237</v>
      </c>
      <c r="C9" s="27">
        <f t="shared" si="3"/>
        <v>2096305.8020000001</v>
      </c>
      <c r="D9" s="27">
        <f t="shared" si="3"/>
        <v>2060089.714</v>
      </c>
      <c r="E9" s="27">
        <f t="shared" si="3"/>
        <v>1800200.8939999999</v>
      </c>
      <c r="F9" s="27">
        <f t="shared" si="3"/>
        <v>1798142.608</v>
      </c>
      <c r="G9" s="27">
        <f t="shared" si="3"/>
        <v>1813999.4800000002</v>
      </c>
      <c r="H9" s="27">
        <f t="shared" si="3"/>
        <v>1827118.882</v>
      </c>
      <c r="I9" s="27">
        <f t="shared" si="3"/>
        <v>1890869.0829999999</v>
      </c>
      <c r="J9" s="27">
        <f t="shared" si="3"/>
        <v>1930110.9880000001</v>
      </c>
      <c r="K9" s="27">
        <f t="shared" si="3"/>
        <v>2003138.477</v>
      </c>
      <c r="L9" s="27">
        <f>L11+L12</f>
        <v>2006032.3860000002</v>
      </c>
      <c r="M9" s="27">
        <f>M11+M12</f>
        <v>2192444.822</v>
      </c>
    </row>
    <row r="10" spans="1:13" ht="13.5">
      <c r="A10" s="41" t="s">
        <v>6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13.5">
      <c r="A11" s="39" t="s">
        <v>10</v>
      </c>
      <c r="B11" s="29">
        <v>200073.52</v>
      </c>
      <c r="C11" s="29">
        <v>150028.066</v>
      </c>
      <c r="D11" s="29">
        <v>100315.297</v>
      </c>
      <c r="E11" s="29">
        <v>99363.321</v>
      </c>
      <c r="F11" s="29">
        <v>99083.443</v>
      </c>
      <c r="G11" s="29">
        <v>98353.226</v>
      </c>
      <c r="H11" s="29">
        <v>98524.808</v>
      </c>
      <c r="I11" s="29">
        <v>103960.286</v>
      </c>
      <c r="J11" s="29">
        <v>108354.966</v>
      </c>
      <c r="K11" s="29">
        <v>111723.988</v>
      </c>
      <c r="L11" s="29">
        <v>115430.941</v>
      </c>
      <c r="M11" s="29">
        <v>121349.785</v>
      </c>
    </row>
    <row r="12" spans="1:13" ht="26.25">
      <c r="A12" s="39" t="s">
        <v>34</v>
      </c>
      <c r="B12" s="29">
        <f>1380817.637+552372.08</f>
        <v>1933189.7170000002</v>
      </c>
      <c r="C12" s="29">
        <f>1368132.201+578145.535</f>
        <v>1946277.736</v>
      </c>
      <c r="D12" s="29">
        <f>1350805.223+608969.194</f>
        <v>1959774.417</v>
      </c>
      <c r="E12" s="29">
        <f>1057401.548+643436.025</f>
        <v>1700837.5729999999</v>
      </c>
      <c r="F12" s="29">
        <f>1037396.834+661662.331</f>
        <v>1699059.165</v>
      </c>
      <c r="G12" s="29">
        <f>1040534.898+675111.356</f>
        <v>1715646.2540000002</v>
      </c>
      <c r="H12" s="29">
        <f>1044808.296+683785.778</f>
        <v>1728594.074</v>
      </c>
      <c r="I12" s="29">
        <f>1090087.802+696820.995</f>
        <v>1786908.7969999998</v>
      </c>
      <c r="J12" s="29">
        <f>1117225.147+704530.875</f>
        <v>1821756.022</v>
      </c>
      <c r="K12" s="29">
        <f>1182901.993+708512.496</f>
        <v>1891414.489</v>
      </c>
      <c r="L12" s="29">
        <f>1165438.614+725162.831</f>
        <v>1890601.445</v>
      </c>
      <c r="M12" s="29">
        <f>1316453.295+754641.742</f>
        <v>2071095.037</v>
      </c>
    </row>
    <row r="13" spans="1:13" ht="13.5">
      <c r="A13" s="40" t="s">
        <v>14</v>
      </c>
      <c r="B13" s="27">
        <f aca="true" t="shared" si="4" ref="B13:K13">B15+B16</f>
        <v>2704667.3789999997</v>
      </c>
      <c r="C13" s="27">
        <f t="shared" si="4"/>
        <v>2741312.571</v>
      </c>
      <c r="D13" s="27">
        <f t="shared" si="4"/>
        <v>2757651.2460000003</v>
      </c>
      <c r="E13" s="27">
        <f t="shared" si="4"/>
        <v>2599187.9869999997</v>
      </c>
      <c r="F13" s="27">
        <f t="shared" si="4"/>
        <v>2686844.0519999997</v>
      </c>
      <c r="G13" s="27">
        <f t="shared" si="4"/>
        <v>2740800.935</v>
      </c>
      <c r="H13" s="27">
        <f t="shared" si="4"/>
        <v>2897353.894</v>
      </c>
      <c r="I13" s="27">
        <f t="shared" si="4"/>
        <v>3008722.5530000003</v>
      </c>
      <c r="J13" s="27">
        <f t="shared" si="4"/>
        <v>3183279.205</v>
      </c>
      <c r="K13" s="27">
        <f t="shared" si="4"/>
        <v>3130422.3740000003</v>
      </c>
      <c r="L13" s="27">
        <f>L15+L16</f>
        <v>3135062.1070000003</v>
      </c>
      <c r="M13" s="27">
        <f>M15+M16</f>
        <v>3228857.4919999996</v>
      </c>
    </row>
    <row r="14" spans="1:13" ht="13.5">
      <c r="A14" s="36" t="s">
        <v>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13.5">
      <c r="A15" s="39" t="s">
        <v>10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</row>
    <row r="16" spans="1:13" ht="26.25">
      <c r="A16" s="39" t="s">
        <v>34</v>
      </c>
      <c r="B16" s="29">
        <f>2601277.902+103389.477</f>
        <v>2704667.3789999997</v>
      </c>
      <c r="C16" s="29">
        <f>2629758.438+111554.133</f>
        <v>2741312.571</v>
      </c>
      <c r="D16" s="29">
        <f>2637377.035+120274.211</f>
        <v>2757651.2460000003</v>
      </c>
      <c r="E16" s="29">
        <f>2469807.664+129380.323</f>
        <v>2599187.9869999997</v>
      </c>
      <c r="F16" s="29">
        <f>2550037.573+136806.479</f>
        <v>2686844.0519999997</v>
      </c>
      <c r="G16" s="29">
        <f>2597123.247+143677.688</f>
        <v>2740800.935</v>
      </c>
      <c r="H16" s="29">
        <f>2743955.795+153398.099</f>
        <v>2897353.894</v>
      </c>
      <c r="I16" s="29">
        <f>2849619.45+159103.103</f>
        <v>3008722.5530000003</v>
      </c>
      <c r="J16" s="29">
        <f>3019677.574+163601.631</f>
        <v>3183279.205</v>
      </c>
      <c r="K16" s="29">
        <f>2961232.473+169189.901</f>
        <v>3130422.3740000003</v>
      </c>
      <c r="L16" s="29">
        <f>2957558.072+177504.035</f>
        <v>3135062.1070000003</v>
      </c>
      <c r="M16" s="29">
        <f>3048449.726+180407.766</f>
        <v>3228857.4919999996</v>
      </c>
    </row>
    <row r="17" spans="1:2" ht="15">
      <c r="A17" s="43"/>
      <c r="B17" s="43"/>
    </row>
  </sheetData>
  <sheetProtection/>
  <mergeCells count="3">
    <mergeCell ref="A1:L1"/>
    <mergeCell ref="B3:M3"/>
    <mergeCell ref="A2:M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100" zoomScalePageLayoutView="0" workbookViewId="0" topLeftCell="A1">
      <selection activeCell="A12" sqref="A12"/>
    </sheetView>
  </sheetViews>
  <sheetFormatPr defaultColWidth="9.00390625" defaultRowHeight="12.75"/>
  <cols>
    <col min="1" max="1" width="41.25390625" style="0" bestFit="1" customWidth="1"/>
    <col min="2" max="6" width="10.75390625" style="0" customWidth="1"/>
  </cols>
  <sheetData>
    <row r="1" spans="1:13" ht="45" customHeight="1">
      <c r="A1" s="79" t="s">
        <v>32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3"/>
      <c r="M1" s="83"/>
    </row>
    <row r="2" spans="1:13" ht="15.75" customHeight="1">
      <c r="A2" s="84" t="s">
        <v>31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5"/>
      <c r="M2" s="85"/>
    </row>
    <row r="3" spans="1:13" ht="15">
      <c r="A3" s="32" t="s">
        <v>0</v>
      </c>
      <c r="B3" s="86">
        <v>2011</v>
      </c>
      <c r="C3" s="87"/>
      <c r="D3" s="87"/>
      <c r="E3" s="87"/>
      <c r="F3" s="87"/>
      <c r="G3" s="87"/>
      <c r="H3" s="87"/>
      <c r="I3" s="87"/>
      <c r="J3" s="87"/>
      <c r="K3" s="88"/>
      <c r="L3" s="88"/>
      <c r="M3" s="89"/>
    </row>
    <row r="4" spans="1:13" ht="13.5">
      <c r="A4" s="32" t="s">
        <v>1</v>
      </c>
      <c r="B4" s="24" t="s">
        <v>2</v>
      </c>
      <c r="C4" s="24" t="s">
        <v>3</v>
      </c>
      <c r="D4" s="24" t="s">
        <v>4</v>
      </c>
      <c r="E4" s="24" t="s">
        <v>19</v>
      </c>
      <c r="F4" s="24" t="s">
        <v>18</v>
      </c>
      <c r="G4" s="33" t="s">
        <v>20</v>
      </c>
      <c r="H4" s="33" t="s">
        <v>21</v>
      </c>
      <c r="I4" s="33" t="s">
        <v>22</v>
      </c>
      <c r="J4" s="33" t="s">
        <v>23</v>
      </c>
      <c r="K4" s="33" t="s">
        <v>24</v>
      </c>
      <c r="L4" s="24" t="s">
        <v>25</v>
      </c>
      <c r="M4" s="24" t="s">
        <v>26</v>
      </c>
    </row>
    <row r="5" spans="1:13" ht="13.5">
      <c r="A5" s="34" t="s">
        <v>5</v>
      </c>
      <c r="B5" s="27">
        <f aca="true" t="shared" si="0" ref="B5:M5">B9+B13</f>
        <v>3888024.2419999996</v>
      </c>
      <c r="C5" s="27">
        <f t="shared" si="0"/>
        <v>3969909.5650000004</v>
      </c>
      <c r="D5" s="27">
        <f t="shared" si="0"/>
        <v>4038678.054</v>
      </c>
      <c r="E5" s="27">
        <f t="shared" si="0"/>
        <v>4216249.438</v>
      </c>
      <c r="F5" s="27">
        <f t="shared" si="0"/>
        <v>4344612.638</v>
      </c>
      <c r="G5" s="35">
        <f t="shared" si="0"/>
        <v>4371128</v>
      </c>
      <c r="H5" s="27">
        <f t="shared" si="0"/>
        <v>4435565.692</v>
      </c>
      <c r="I5" s="27">
        <f t="shared" si="0"/>
        <v>4518895.256999999</v>
      </c>
      <c r="J5" s="27">
        <f t="shared" si="0"/>
        <v>4654713.848999999</v>
      </c>
      <c r="K5" s="27">
        <f t="shared" si="0"/>
        <v>4655854.915</v>
      </c>
      <c r="L5" s="27">
        <f t="shared" si="0"/>
        <v>4707243.897</v>
      </c>
      <c r="M5" s="31">
        <f t="shared" si="0"/>
        <v>4799648.6729999995</v>
      </c>
    </row>
    <row r="6" spans="1:13" ht="13.5">
      <c r="A6" s="36" t="s">
        <v>6</v>
      </c>
      <c r="B6" s="28"/>
      <c r="C6" s="28"/>
      <c r="D6" s="28"/>
      <c r="E6" s="28"/>
      <c r="F6" s="28"/>
      <c r="G6" s="37"/>
      <c r="H6" s="28"/>
      <c r="I6" s="28"/>
      <c r="J6" s="28"/>
      <c r="K6" s="28"/>
      <c r="L6" s="28"/>
      <c r="M6" s="28"/>
    </row>
    <row r="7" spans="1:13" ht="13.5">
      <c r="A7" s="39" t="s">
        <v>10</v>
      </c>
      <c r="B7" s="29">
        <f aca="true" t="shared" si="1" ref="B7:M7">B11+B15</f>
        <v>204784.786</v>
      </c>
      <c r="C7" s="29">
        <f t="shared" si="1"/>
        <v>204470.053</v>
      </c>
      <c r="D7" s="29">
        <f t="shared" si="1"/>
        <v>203983.674</v>
      </c>
      <c r="E7" s="29">
        <f t="shared" si="1"/>
        <v>203691.844</v>
      </c>
      <c r="F7" s="29">
        <f t="shared" si="1"/>
        <v>203445.707</v>
      </c>
      <c r="G7" s="38">
        <f t="shared" si="1"/>
        <v>203246.51451000004</v>
      </c>
      <c r="H7" s="29">
        <f t="shared" si="1"/>
        <v>200496.44</v>
      </c>
      <c r="I7" s="29">
        <f t="shared" si="1"/>
        <v>200374.372</v>
      </c>
      <c r="J7" s="29">
        <f t="shared" si="1"/>
        <v>201139.864</v>
      </c>
      <c r="K7" s="29">
        <f t="shared" si="1"/>
        <v>200961.594</v>
      </c>
      <c r="L7" s="29">
        <f t="shared" si="1"/>
        <v>200672.309</v>
      </c>
      <c r="M7" s="29">
        <f t="shared" si="1"/>
        <v>200422.969</v>
      </c>
    </row>
    <row r="8" spans="1:13" ht="26.25">
      <c r="A8" s="39" t="s">
        <v>34</v>
      </c>
      <c r="B8" s="29">
        <f aca="true" t="shared" si="2" ref="B8:M8">B12+B16</f>
        <v>3683239.456</v>
      </c>
      <c r="C8" s="29">
        <f t="shared" si="2"/>
        <v>3765439.512</v>
      </c>
      <c r="D8" s="29">
        <f t="shared" si="2"/>
        <v>3834694.38</v>
      </c>
      <c r="E8" s="29">
        <f t="shared" si="2"/>
        <v>4012557.594</v>
      </c>
      <c r="F8" s="29">
        <f t="shared" si="2"/>
        <v>4141166.9310000003</v>
      </c>
      <c r="G8" s="38">
        <f t="shared" si="2"/>
        <v>4167881.48549</v>
      </c>
      <c r="H8" s="29">
        <f t="shared" si="2"/>
        <v>4235069.251999999</v>
      </c>
      <c r="I8" s="29">
        <f t="shared" si="2"/>
        <v>4318520.885</v>
      </c>
      <c r="J8" s="29">
        <f t="shared" si="2"/>
        <v>4453573.984999999</v>
      </c>
      <c r="K8" s="29">
        <f t="shared" si="2"/>
        <v>4454893.321</v>
      </c>
      <c r="L8" s="29">
        <f t="shared" si="2"/>
        <v>4506571.5879999995</v>
      </c>
      <c r="M8" s="29">
        <f t="shared" si="2"/>
        <v>4599225.704</v>
      </c>
    </row>
    <row r="9" spans="1:13" ht="14.25" customHeight="1">
      <c r="A9" s="40" t="s">
        <v>12</v>
      </c>
      <c r="B9" s="27">
        <f aca="true" t="shared" si="3" ref="B9:H9">B11+B12</f>
        <v>2016202.865</v>
      </c>
      <c r="C9" s="27">
        <f t="shared" si="3"/>
        <v>2037765.8520000002</v>
      </c>
      <c r="D9" s="27">
        <f t="shared" si="3"/>
        <v>2047223.04</v>
      </c>
      <c r="E9" s="27">
        <f t="shared" si="3"/>
        <v>2125782.076</v>
      </c>
      <c r="F9" s="27">
        <f t="shared" si="3"/>
        <v>2161984.699</v>
      </c>
      <c r="G9" s="35">
        <f t="shared" si="3"/>
        <v>2137969</v>
      </c>
      <c r="H9" s="27">
        <f t="shared" si="3"/>
        <v>2132686.762</v>
      </c>
      <c r="I9" s="27">
        <f>I11+I12</f>
        <v>2135899.587</v>
      </c>
      <c r="J9" s="27">
        <f>J11+J12</f>
        <v>2151651.241</v>
      </c>
      <c r="K9" s="27">
        <f>K11+K12</f>
        <v>2123224.4839999997</v>
      </c>
      <c r="L9" s="27">
        <f>L11+L12</f>
        <v>2134465.924</v>
      </c>
      <c r="M9" s="27">
        <f>M11+M12</f>
        <v>2136539.593</v>
      </c>
    </row>
    <row r="10" spans="1:13" ht="13.5">
      <c r="A10" s="41" t="s">
        <v>6</v>
      </c>
      <c r="B10" s="28"/>
      <c r="C10" s="28"/>
      <c r="D10" s="28"/>
      <c r="E10" s="28"/>
      <c r="F10" s="28"/>
      <c r="G10" s="37"/>
      <c r="H10" s="28"/>
      <c r="I10" s="28"/>
      <c r="J10" s="28"/>
      <c r="K10" s="28"/>
      <c r="L10" s="28"/>
      <c r="M10" s="28"/>
    </row>
    <row r="11" spans="1:13" ht="13.5">
      <c r="A11" s="39" t="s">
        <v>10</v>
      </c>
      <c r="B11" s="29">
        <v>204784.786</v>
      </c>
      <c r="C11" s="29">
        <v>204470.053</v>
      </c>
      <c r="D11" s="29">
        <v>203983.674</v>
      </c>
      <c r="E11" s="29">
        <v>203691.844</v>
      </c>
      <c r="F11" s="29">
        <v>203445.707</v>
      </c>
      <c r="G11" s="38">
        <v>203246.51451000004</v>
      </c>
      <c r="H11" s="29">
        <v>200496.44</v>
      </c>
      <c r="I11" s="29">
        <v>200374.372</v>
      </c>
      <c r="J11" s="29">
        <v>201139.864</v>
      </c>
      <c r="K11" s="29">
        <v>200961.594</v>
      </c>
      <c r="L11" s="29">
        <v>200672.309</v>
      </c>
      <c r="M11" s="29">
        <v>200422.969</v>
      </c>
    </row>
    <row r="12" spans="1:13" ht="26.25">
      <c r="A12" s="39" t="s">
        <v>34</v>
      </c>
      <c r="B12" s="29">
        <f>1406481.326+404936.753</f>
        <v>1811418.079</v>
      </c>
      <c r="C12" s="29">
        <f>1408350.983+424944.816</f>
        <v>1833295.799</v>
      </c>
      <c r="D12" s="29">
        <f>1395667.981+447571.385</f>
        <v>1843239.366</v>
      </c>
      <c r="E12" s="29">
        <f>1452395.607+469694.625</f>
        <v>1922090.232</v>
      </c>
      <c r="F12" s="29">
        <f>1481134.152+477404.84</f>
        <v>1958538.992</v>
      </c>
      <c r="G12" s="38">
        <v>1934722.4854899999</v>
      </c>
      <c r="H12" s="29">
        <f>1439294.64+492895.682</f>
        <v>1932190.322</v>
      </c>
      <c r="I12" s="29">
        <f>1439146.72+496378.495</f>
        <v>1935525.2149999999</v>
      </c>
      <c r="J12" s="29">
        <f>1448251.471+502259.906</f>
        <v>1950511.3769999999</v>
      </c>
      <c r="K12" s="29">
        <f>1416542.163+505720.727</f>
        <v>1922262.89</v>
      </c>
      <c r="L12" s="29">
        <f>1422552.422+511241.193</f>
        <v>1933793.615</v>
      </c>
      <c r="M12" s="29">
        <f>1400451.947+535664.677</f>
        <v>1936116.6239999998</v>
      </c>
    </row>
    <row r="13" spans="1:13" ht="13.5">
      <c r="A13" s="40" t="s">
        <v>14</v>
      </c>
      <c r="B13" s="27">
        <f aca="true" t="shared" si="4" ref="B13:H13">B15+B16</f>
        <v>1871821.3769999999</v>
      </c>
      <c r="C13" s="27">
        <f t="shared" si="4"/>
        <v>1932143.713</v>
      </c>
      <c r="D13" s="27">
        <f t="shared" si="4"/>
        <v>1991455.014</v>
      </c>
      <c r="E13" s="27">
        <f t="shared" si="4"/>
        <v>2090467.362</v>
      </c>
      <c r="F13" s="27">
        <f t="shared" si="4"/>
        <v>2182627.9390000002</v>
      </c>
      <c r="G13" s="35">
        <f t="shared" si="4"/>
        <v>2233159</v>
      </c>
      <c r="H13" s="27">
        <f t="shared" si="4"/>
        <v>2302878.9299999997</v>
      </c>
      <c r="I13" s="27">
        <f>I15+I16</f>
        <v>2382995.67</v>
      </c>
      <c r="J13" s="27">
        <f>J15+J16</f>
        <v>2503062.608</v>
      </c>
      <c r="K13" s="27">
        <f>K15+K16</f>
        <v>2532630.4310000003</v>
      </c>
      <c r="L13" s="27">
        <f>L15+L16</f>
        <v>2572777.9729999998</v>
      </c>
      <c r="M13" s="27">
        <f>M15+M16</f>
        <v>2663109.0799999996</v>
      </c>
    </row>
    <row r="14" spans="1:13" ht="13.5">
      <c r="A14" s="36" t="s">
        <v>6</v>
      </c>
      <c r="B14" s="29"/>
      <c r="C14" s="29"/>
      <c r="D14" s="29"/>
      <c r="E14" s="29"/>
      <c r="F14" s="29"/>
      <c r="G14" s="38"/>
      <c r="H14" s="29"/>
      <c r="I14" s="29"/>
      <c r="J14" s="29"/>
      <c r="K14" s="29"/>
      <c r="L14" s="29"/>
      <c r="M14" s="29"/>
    </row>
    <row r="15" spans="1:13" ht="13.5">
      <c r="A15" s="39" t="s">
        <v>10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42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</row>
    <row r="16" spans="1:13" ht="26.25">
      <c r="A16" s="39" t="s">
        <v>34</v>
      </c>
      <c r="B16" s="29">
        <f>1832446.275+39375.102</f>
        <v>1871821.3769999999</v>
      </c>
      <c r="C16" s="29">
        <f>1880715.078+51428.635</f>
        <v>1932143.713</v>
      </c>
      <c r="D16" s="29">
        <f>1935710.505+55744.509</f>
        <v>1991455.014</v>
      </c>
      <c r="E16" s="29">
        <f>2029030.869+61436.493</f>
        <v>2090467.362</v>
      </c>
      <c r="F16" s="29">
        <f>2116566.998+66060.941</f>
        <v>2182627.9390000002</v>
      </c>
      <c r="G16" s="38">
        <v>2233159</v>
      </c>
      <c r="H16" s="29">
        <f>2229034.374+73844.556</f>
        <v>2302878.9299999997</v>
      </c>
      <c r="I16" s="29">
        <f>2302670.993+80324.677</f>
        <v>2382995.67</v>
      </c>
      <c r="J16" s="29">
        <f>2419241.373+83821.235</f>
        <v>2503062.608</v>
      </c>
      <c r="K16" s="29">
        <f>2444726.848+87903.583</f>
        <v>2532630.4310000003</v>
      </c>
      <c r="L16" s="29">
        <f>2480157.715+92620.258</f>
        <v>2572777.9729999998</v>
      </c>
      <c r="M16" s="29">
        <f>2566579.456+96529.624</f>
        <v>2663109.0799999996</v>
      </c>
    </row>
    <row r="17" spans="1:13" ht="1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</sheetData>
  <sheetProtection/>
  <mergeCells count="3">
    <mergeCell ref="A1:M1"/>
    <mergeCell ref="A2:M2"/>
    <mergeCell ref="B3:M3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2"/>
  <sheetViews>
    <sheetView zoomScale="90" zoomScaleNormal="90" zoomScaleSheetLayoutView="100" zoomScalePageLayoutView="0" workbookViewId="0" topLeftCell="A1">
      <selection activeCell="A23" sqref="A23:IV23"/>
    </sheetView>
  </sheetViews>
  <sheetFormatPr defaultColWidth="9.00390625" defaultRowHeight="12.75"/>
  <cols>
    <col min="1" max="1" width="29.00390625" style="0" customWidth="1"/>
    <col min="2" max="2" width="10.75390625" style="0" customWidth="1"/>
    <col min="3" max="3" width="9.50390625" style="0" bestFit="1" customWidth="1"/>
    <col min="4" max="4" width="10.25390625" style="0" customWidth="1"/>
    <col min="5" max="5" width="9.75390625" style="0" bestFit="1" customWidth="1"/>
    <col min="6" max="6" width="11.00390625" style="0" customWidth="1"/>
    <col min="7" max="12" width="9.75390625" style="0" bestFit="1" customWidth="1"/>
    <col min="13" max="13" width="11.75390625" style="0" customWidth="1"/>
  </cols>
  <sheetData>
    <row r="1" spans="1:13" ht="15">
      <c r="A1" s="93" t="s">
        <v>32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2.75">
      <c r="A2" s="94" t="s">
        <v>31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2">
      <c r="A3" s="2" t="s">
        <v>0</v>
      </c>
      <c r="B3" s="90">
        <v>2010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12">
      <c r="A4" s="2" t="s">
        <v>1</v>
      </c>
      <c r="B4" s="3" t="s">
        <v>2</v>
      </c>
      <c r="C4" s="3" t="s">
        <v>3</v>
      </c>
      <c r="D4" s="3" t="s">
        <v>4</v>
      </c>
      <c r="E4" s="3" t="s">
        <v>19</v>
      </c>
      <c r="F4" s="3" t="s">
        <v>18</v>
      </c>
      <c r="G4" s="19" t="s">
        <v>20</v>
      </c>
      <c r="H4" s="19" t="s">
        <v>21</v>
      </c>
      <c r="I4" s="19" t="s">
        <v>22</v>
      </c>
      <c r="J4" s="19" t="s">
        <v>23</v>
      </c>
      <c r="K4" s="19" t="s">
        <v>24</v>
      </c>
      <c r="L4" s="19" t="s">
        <v>25</v>
      </c>
      <c r="M4" s="19" t="s">
        <v>26</v>
      </c>
    </row>
    <row r="5" spans="1:13" ht="12">
      <c r="A5" s="4" t="s">
        <v>5</v>
      </c>
      <c r="B5" s="5">
        <f aca="true" t="shared" si="0" ref="B5:G5">B11+B17</f>
        <v>5488059.58</v>
      </c>
      <c r="C5" s="5">
        <f t="shared" si="0"/>
        <v>5521505.154</v>
      </c>
      <c r="D5" s="5">
        <f t="shared" si="0"/>
        <v>5649701.56172294</v>
      </c>
      <c r="E5" s="5">
        <f t="shared" si="0"/>
        <v>5771923.6959999995</v>
      </c>
      <c r="F5" s="5">
        <f t="shared" si="0"/>
        <v>5450519.466</v>
      </c>
      <c r="G5" s="20">
        <f t="shared" si="0"/>
        <v>5567765.59325</v>
      </c>
      <c r="H5" s="20">
        <f aca="true" t="shared" si="1" ref="H5:M5">H11+H17</f>
        <v>5617576.127</v>
      </c>
      <c r="I5" s="20">
        <f t="shared" si="1"/>
        <v>5676614.384</v>
      </c>
      <c r="J5" s="20">
        <f t="shared" si="1"/>
        <v>5769483.475</v>
      </c>
      <c r="K5" s="20">
        <f t="shared" si="1"/>
        <v>6035491.164</v>
      </c>
      <c r="L5" s="20">
        <f t="shared" si="1"/>
        <v>6111535.02</v>
      </c>
      <c r="M5" s="20">
        <f t="shared" si="1"/>
        <v>3728330.904</v>
      </c>
    </row>
    <row r="6" spans="1:13" ht="12">
      <c r="A6" s="6" t="s">
        <v>6</v>
      </c>
      <c r="B6" s="14"/>
      <c r="C6" s="14"/>
      <c r="D6" s="14"/>
      <c r="E6" s="14"/>
      <c r="F6" s="14"/>
      <c r="G6" s="21"/>
      <c r="H6" s="21"/>
      <c r="I6" s="21"/>
      <c r="J6" s="21"/>
      <c r="K6" s="21"/>
      <c r="L6" s="21"/>
      <c r="M6" s="21"/>
    </row>
    <row r="7" spans="1:13" ht="12">
      <c r="A7" s="7" t="s">
        <v>8</v>
      </c>
      <c r="B7" s="8">
        <f aca="true" t="shared" si="2" ref="B7:G7">B13+B19</f>
        <v>5488059.58</v>
      </c>
      <c r="C7" s="8">
        <f t="shared" si="2"/>
        <v>5521505.154</v>
      </c>
      <c r="D7" s="8">
        <f t="shared" si="2"/>
        <v>5649701.56172294</v>
      </c>
      <c r="E7" s="8">
        <f t="shared" si="2"/>
        <v>5771923.6959999995</v>
      </c>
      <c r="F7" s="8">
        <f t="shared" si="2"/>
        <v>5450519.466</v>
      </c>
      <c r="G7" s="17">
        <f t="shared" si="2"/>
        <v>5567765.59325</v>
      </c>
      <c r="H7" s="17">
        <f aca="true" t="shared" si="3" ref="H7:M7">H13+H19</f>
        <v>5617576.127</v>
      </c>
      <c r="I7" s="17">
        <f t="shared" si="3"/>
        <v>5676614.384</v>
      </c>
      <c r="J7" s="17">
        <f t="shared" si="3"/>
        <v>5769483.475</v>
      </c>
      <c r="K7" s="17">
        <f t="shared" si="3"/>
        <v>6035491.164</v>
      </c>
      <c r="L7" s="17">
        <f t="shared" si="3"/>
        <v>6111535.02</v>
      </c>
      <c r="M7" s="17">
        <f t="shared" si="3"/>
        <v>3728330.904</v>
      </c>
    </row>
    <row r="8" spans="1:13" ht="12">
      <c r="A8" s="9" t="s">
        <v>9</v>
      </c>
      <c r="B8" s="8"/>
      <c r="C8" s="8"/>
      <c r="D8" s="8"/>
      <c r="E8" s="8"/>
      <c r="F8" s="8"/>
      <c r="G8" s="17"/>
      <c r="H8" s="17"/>
      <c r="I8" s="17"/>
      <c r="J8" s="17"/>
      <c r="K8" s="17"/>
      <c r="L8" s="17"/>
      <c r="M8" s="17"/>
    </row>
    <row r="9" spans="1:13" ht="12">
      <c r="A9" s="9" t="s">
        <v>10</v>
      </c>
      <c r="B9" s="8">
        <f aca="true" t="shared" si="4" ref="B9:D10">B15+B21</f>
        <v>179947.848</v>
      </c>
      <c r="C9" s="8">
        <f t="shared" si="4"/>
        <v>159367.618</v>
      </c>
      <c r="D9" s="8">
        <f t="shared" si="4"/>
        <v>159485.08966</v>
      </c>
      <c r="E9" s="8">
        <f aca="true" t="shared" si="5" ref="E9:G10">E15+E21</f>
        <v>208524.736</v>
      </c>
      <c r="F9" s="8">
        <f t="shared" si="5"/>
        <v>206995.101</v>
      </c>
      <c r="G9" s="17">
        <f t="shared" si="5"/>
        <v>206824.46912999998</v>
      </c>
      <c r="H9" s="17">
        <f aca="true" t="shared" si="6" ref="H9:J10">H15+H21</f>
        <v>206711.979</v>
      </c>
      <c r="I9" s="17">
        <f t="shared" si="6"/>
        <v>206706.177</v>
      </c>
      <c r="J9" s="17">
        <f t="shared" si="6"/>
        <v>206564.239</v>
      </c>
      <c r="K9" s="17">
        <f aca="true" t="shared" si="7" ref="K9:M10">K15+K21</f>
        <v>205483.754</v>
      </c>
      <c r="L9" s="17">
        <f t="shared" si="7"/>
        <v>205121.902</v>
      </c>
      <c r="M9" s="17">
        <f t="shared" si="7"/>
        <v>204933.572</v>
      </c>
    </row>
    <row r="10" spans="1:13" ht="22.5">
      <c r="A10" s="9" t="s">
        <v>34</v>
      </c>
      <c r="B10" s="8">
        <f t="shared" si="4"/>
        <v>5308111.732000001</v>
      </c>
      <c r="C10" s="8">
        <f t="shared" si="4"/>
        <v>5362137.536</v>
      </c>
      <c r="D10" s="8">
        <f t="shared" si="4"/>
        <v>5490216.47206294</v>
      </c>
      <c r="E10" s="8">
        <f t="shared" si="5"/>
        <v>5563398.96</v>
      </c>
      <c r="F10" s="8">
        <f t="shared" si="5"/>
        <v>5243524.365</v>
      </c>
      <c r="G10" s="17">
        <f t="shared" si="5"/>
        <v>5360941.12412</v>
      </c>
      <c r="H10" s="17">
        <f t="shared" si="6"/>
        <v>5410864.148</v>
      </c>
      <c r="I10" s="17">
        <f t="shared" si="6"/>
        <v>5469908.207</v>
      </c>
      <c r="J10" s="17">
        <f t="shared" si="6"/>
        <v>5562919.236</v>
      </c>
      <c r="K10" s="17">
        <f t="shared" si="7"/>
        <v>5830007.41</v>
      </c>
      <c r="L10" s="17">
        <f t="shared" si="7"/>
        <v>5906413.118</v>
      </c>
      <c r="M10" s="17">
        <f t="shared" si="7"/>
        <v>3523397.3320000004</v>
      </c>
    </row>
    <row r="11" spans="1:13" ht="22.5">
      <c r="A11" s="18" t="s">
        <v>12</v>
      </c>
      <c r="B11" s="5">
        <f aca="true" t="shared" si="8" ref="B11:G11">B15+B16</f>
        <v>3871024.8380000005</v>
      </c>
      <c r="C11" s="5">
        <f t="shared" si="8"/>
        <v>3866568.011</v>
      </c>
      <c r="D11" s="5">
        <f t="shared" si="8"/>
        <v>3930247.48446</v>
      </c>
      <c r="E11" s="5">
        <f t="shared" si="8"/>
        <v>4027375.4729999998</v>
      </c>
      <c r="F11" s="5">
        <f t="shared" si="8"/>
        <v>3950358.781</v>
      </c>
      <c r="G11" s="20">
        <f t="shared" si="8"/>
        <v>3983782.78842</v>
      </c>
      <c r="H11" s="20">
        <f aca="true" t="shared" si="9" ref="H11:M11">H15+H16</f>
        <v>3971213.471</v>
      </c>
      <c r="I11" s="20">
        <f t="shared" si="9"/>
        <v>4002227.41</v>
      </c>
      <c r="J11" s="20">
        <f t="shared" si="9"/>
        <v>4052020.715</v>
      </c>
      <c r="K11" s="20">
        <f t="shared" si="9"/>
        <v>4278200.256</v>
      </c>
      <c r="L11" s="20">
        <f t="shared" si="9"/>
        <v>4287801.05</v>
      </c>
      <c r="M11" s="20">
        <f t="shared" si="9"/>
        <v>1905493.016</v>
      </c>
    </row>
    <row r="12" spans="1:13" ht="12">
      <c r="A12" s="10" t="s">
        <v>6</v>
      </c>
      <c r="B12" s="14"/>
      <c r="C12" s="14"/>
      <c r="D12" s="14"/>
      <c r="E12" s="14"/>
      <c r="F12" s="14"/>
      <c r="G12" s="21"/>
      <c r="H12" s="21"/>
      <c r="I12" s="21"/>
      <c r="J12" s="21"/>
      <c r="K12" s="21"/>
      <c r="L12" s="21"/>
      <c r="M12" s="21"/>
    </row>
    <row r="13" spans="1:13" ht="12">
      <c r="A13" s="7" t="s">
        <v>8</v>
      </c>
      <c r="B13" s="8">
        <f aca="true" t="shared" si="10" ref="B13:G13">B15+B16</f>
        <v>3871024.8380000005</v>
      </c>
      <c r="C13" s="8">
        <f t="shared" si="10"/>
        <v>3866568.011</v>
      </c>
      <c r="D13" s="8">
        <f t="shared" si="10"/>
        <v>3930247.48446</v>
      </c>
      <c r="E13" s="8">
        <f t="shared" si="10"/>
        <v>4027375.4729999998</v>
      </c>
      <c r="F13" s="8">
        <f t="shared" si="10"/>
        <v>3950358.781</v>
      </c>
      <c r="G13" s="17">
        <f t="shared" si="10"/>
        <v>3983782.78842</v>
      </c>
      <c r="H13" s="17">
        <f aca="true" t="shared" si="11" ref="H13:M13">H15+H16</f>
        <v>3971213.471</v>
      </c>
      <c r="I13" s="17">
        <f t="shared" si="11"/>
        <v>4002227.41</v>
      </c>
      <c r="J13" s="17">
        <f t="shared" si="11"/>
        <v>4052020.715</v>
      </c>
      <c r="K13" s="17">
        <f t="shared" si="11"/>
        <v>4278200.256</v>
      </c>
      <c r="L13" s="17">
        <f t="shared" si="11"/>
        <v>4287801.05</v>
      </c>
      <c r="M13" s="17">
        <f t="shared" si="11"/>
        <v>1905493.016</v>
      </c>
    </row>
    <row r="14" spans="1:13" ht="12">
      <c r="A14" s="9" t="s">
        <v>13</v>
      </c>
      <c r="B14" s="8"/>
      <c r="C14" s="8"/>
      <c r="D14" s="8"/>
      <c r="E14" s="8"/>
      <c r="F14" s="8"/>
      <c r="G14" s="17"/>
      <c r="H14" s="17"/>
      <c r="I14" s="17"/>
      <c r="J14" s="17"/>
      <c r="K14" s="17"/>
      <c r="L14" s="17"/>
      <c r="M14" s="17"/>
    </row>
    <row r="15" spans="1:13" ht="12">
      <c r="A15" s="9" t="s">
        <v>10</v>
      </c>
      <c r="B15" s="8">
        <v>179947.848</v>
      </c>
      <c r="C15" s="8">
        <v>159367.618</v>
      </c>
      <c r="D15" s="8">
        <v>159485.08966</v>
      </c>
      <c r="E15" s="8">
        <v>208524.736</v>
      </c>
      <c r="F15" s="8">
        <v>206995.101</v>
      </c>
      <c r="G15" s="17">
        <v>206824.46912999998</v>
      </c>
      <c r="H15" s="17">
        <v>206711.979</v>
      </c>
      <c r="I15" s="17">
        <v>206706.177</v>
      </c>
      <c r="J15" s="17">
        <v>206564.239</v>
      </c>
      <c r="K15" s="17">
        <v>205483.754</v>
      </c>
      <c r="L15" s="17">
        <v>205121.902</v>
      </c>
      <c r="M15" s="17">
        <v>204933.572</v>
      </c>
    </row>
    <row r="16" spans="1:13" ht="22.5">
      <c r="A16" s="9" t="s">
        <v>34</v>
      </c>
      <c r="B16" s="8">
        <v>3691076.99</v>
      </c>
      <c r="C16" s="8">
        <v>3707200.393</v>
      </c>
      <c r="D16" s="8">
        <v>3770762.3948</v>
      </c>
      <c r="E16" s="8">
        <v>3818850.7369999997</v>
      </c>
      <c r="F16" s="8">
        <v>3743363.68</v>
      </c>
      <c r="G16" s="17">
        <v>3776958.31929</v>
      </c>
      <c r="H16" s="17">
        <v>3764501.492</v>
      </c>
      <c r="I16" s="17">
        <v>3795521.233</v>
      </c>
      <c r="J16" s="17">
        <v>3845456.476</v>
      </c>
      <c r="K16" s="17">
        <f>3685248.743+387467.759</f>
        <v>4072716.502</v>
      </c>
      <c r="L16" s="17">
        <f>3692199.664+390479.484</f>
        <v>4082679.148</v>
      </c>
      <c r="M16" s="17">
        <f>1300996.294+399563.15</f>
        <v>1700559.4440000001</v>
      </c>
    </row>
    <row r="17" spans="1:13" ht="22.5">
      <c r="A17" s="18" t="s">
        <v>14</v>
      </c>
      <c r="B17" s="5">
        <f aca="true" t="shared" si="12" ref="B17:G17">B21+B22</f>
        <v>1617034.742</v>
      </c>
      <c r="C17" s="5">
        <f t="shared" si="12"/>
        <v>1654937.143</v>
      </c>
      <c r="D17" s="5">
        <f t="shared" si="12"/>
        <v>1719454.07726294</v>
      </c>
      <c r="E17" s="5">
        <f t="shared" si="12"/>
        <v>1744548.223</v>
      </c>
      <c r="F17" s="5">
        <f t="shared" si="12"/>
        <v>1500160.685</v>
      </c>
      <c r="G17" s="20">
        <f t="shared" si="12"/>
        <v>1583982.80483</v>
      </c>
      <c r="H17" s="20">
        <f aca="true" t="shared" si="13" ref="H17:M17">H21+H22</f>
        <v>1646362.656</v>
      </c>
      <c r="I17" s="20">
        <f t="shared" si="13"/>
        <v>1674386.974</v>
      </c>
      <c r="J17" s="20">
        <f t="shared" si="13"/>
        <v>1717462.76</v>
      </c>
      <c r="K17" s="20">
        <f t="shared" si="13"/>
        <v>1757290.908</v>
      </c>
      <c r="L17" s="20">
        <f t="shared" si="13"/>
        <v>1823733.97</v>
      </c>
      <c r="M17" s="20">
        <f t="shared" si="13"/>
        <v>1822837.888</v>
      </c>
    </row>
    <row r="18" spans="1:13" ht="12">
      <c r="A18" s="6" t="s">
        <v>6</v>
      </c>
      <c r="B18" s="8"/>
      <c r="C18" s="8"/>
      <c r="D18" s="8"/>
      <c r="E18" s="8"/>
      <c r="F18" s="8"/>
      <c r="G18" s="17"/>
      <c r="H18" s="17"/>
      <c r="I18" s="17"/>
      <c r="J18" s="17"/>
      <c r="K18" s="17"/>
      <c r="L18" s="17"/>
      <c r="M18" s="17"/>
    </row>
    <row r="19" spans="1:13" ht="12">
      <c r="A19" s="7" t="s">
        <v>8</v>
      </c>
      <c r="B19" s="8">
        <f aca="true" t="shared" si="14" ref="B19:G19">B21+B22</f>
        <v>1617034.742</v>
      </c>
      <c r="C19" s="8">
        <f t="shared" si="14"/>
        <v>1654937.143</v>
      </c>
      <c r="D19" s="8">
        <f t="shared" si="14"/>
        <v>1719454.07726294</v>
      </c>
      <c r="E19" s="8">
        <f t="shared" si="14"/>
        <v>1744548.223</v>
      </c>
      <c r="F19" s="8">
        <f t="shared" si="14"/>
        <v>1500160.685</v>
      </c>
      <c r="G19" s="17">
        <f t="shared" si="14"/>
        <v>1583982.80483</v>
      </c>
      <c r="H19" s="17">
        <f aca="true" t="shared" si="15" ref="H19:M19">H21+H22</f>
        <v>1646362.656</v>
      </c>
      <c r="I19" s="17">
        <f t="shared" si="15"/>
        <v>1674386.974</v>
      </c>
      <c r="J19" s="17">
        <f t="shared" si="15"/>
        <v>1717462.76</v>
      </c>
      <c r="K19" s="17">
        <f t="shared" si="15"/>
        <v>1757290.908</v>
      </c>
      <c r="L19" s="17">
        <f t="shared" si="15"/>
        <v>1823733.97</v>
      </c>
      <c r="M19" s="17">
        <f t="shared" si="15"/>
        <v>1822837.888</v>
      </c>
    </row>
    <row r="20" spans="1:13" ht="12">
      <c r="A20" s="9" t="s">
        <v>13</v>
      </c>
      <c r="B20" s="8"/>
      <c r="C20" s="8"/>
      <c r="D20" s="8"/>
      <c r="E20" s="8"/>
      <c r="F20" s="8"/>
      <c r="G20" s="17"/>
      <c r="H20" s="17"/>
      <c r="I20" s="17"/>
      <c r="J20" s="17"/>
      <c r="K20" s="17"/>
      <c r="L20" s="17"/>
      <c r="M20" s="17"/>
    </row>
    <row r="21" spans="1:13" ht="12">
      <c r="A21" s="9" t="s">
        <v>10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</row>
    <row r="22" spans="1:13" ht="22.5">
      <c r="A22" s="9" t="s">
        <v>34</v>
      </c>
      <c r="B22" s="8">
        <v>1617034.742</v>
      </c>
      <c r="C22" s="8">
        <v>1654937.143</v>
      </c>
      <c r="D22" s="8">
        <v>1719454.07726294</v>
      </c>
      <c r="E22" s="8">
        <v>1744548.223</v>
      </c>
      <c r="F22" s="8">
        <v>1500160.685</v>
      </c>
      <c r="G22" s="17">
        <v>1583982.80483</v>
      </c>
      <c r="H22" s="17">
        <v>1646362.656</v>
      </c>
      <c r="I22" s="17">
        <v>1674386.974</v>
      </c>
      <c r="J22" s="17">
        <v>1717462.76</v>
      </c>
      <c r="K22" s="17">
        <f>1727608.566+29682.342</f>
        <v>1757290.908</v>
      </c>
      <c r="L22" s="17">
        <f>1791566.869+32167.101</f>
        <v>1823733.97</v>
      </c>
      <c r="M22" s="17">
        <f>1785992.183+36845.705</f>
        <v>1822837.888</v>
      </c>
    </row>
  </sheetData>
  <sheetProtection/>
  <mergeCells count="3">
    <mergeCell ref="B3:M3"/>
    <mergeCell ref="A1:M1"/>
    <mergeCell ref="A2:M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2"/>
  <sheetViews>
    <sheetView zoomScale="90" zoomScaleNormal="90" zoomScaleSheetLayoutView="100" zoomScalePageLayoutView="0" workbookViewId="0" topLeftCell="A1">
      <pane xSplit="1" ySplit="4" topLeftCell="B5" activePane="bottomRight" state="frozen"/>
      <selection pane="topLeft" activeCell="B3" sqref="B3:G3"/>
      <selection pane="topRight" activeCell="B3" sqref="B3:G3"/>
      <selection pane="bottomLeft" activeCell="B3" sqref="B3:G3"/>
      <selection pane="bottomRight" activeCell="A28" sqref="A28"/>
    </sheetView>
  </sheetViews>
  <sheetFormatPr defaultColWidth="9.00390625" defaultRowHeight="12.75"/>
  <cols>
    <col min="1" max="1" width="29.00390625" style="0" customWidth="1"/>
    <col min="2" max="2" width="10.75390625" style="0" customWidth="1"/>
    <col min="3" max="3" width="9.50390625" style="0" bestFit="1" customWidth="1"/>
    <col min="4" max="4" width="10.25390625" style="0" customWidth="1"/>
    <col min="5" max="5" width="9.75390625" style="0" bestFit="1" customWidth="1"/>
    <col min="6" max="6" width="11.00390625" style="0" customWidth="1"/>
    <col min="7" max="12" width="9.75390625" style="0" bestFit="1" customWidth="1"/>
    <col min="13" max="13" width="11.75390625" style="0" customWidth="1"/>
  </cols>
  <sheetData>
    <row r="1" spans="1:13" ht="15">
      <c r="A1" s="93" t="s">
        <v>32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2.75">
      <c r="A2" s="94" t="s">
        <v>31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2">
      <c r="A3" s="2" t="s">
        <v>0</v>
      </c>
      <c r="B3" s="90">
        <v>2009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12">
      <c r="A4" s="2" t="s">
        <v>1</v>
      </c>
      <c r="B4" s="3" t="s">
        <v>2</v>
      </c>
      <c r="C4" s="3" t="s">
        <v>3</v>
      </c>
      <c r="D4" s="3" t="s">
        <v>4</v>
      </c>
      <c r="E4" s="3" t="s">
        <v>19</v>
      </c>
      <c r="F4" s="3" t="s">
        <v>18</v>
      </c>
      <c r="G4" s="19" t="s">
        <v>20</v>
      </c>
      <c r="H4" s="19" t="s">
        <v>21</v>
      </c>
      <c r="I4" s="19" t="s">
        <v>22</v>
      </c>
      <c r="J4" s="19" t="s">
        <v>23</v>
      </c>
      <c r="K4" s="19" t="s">
        <v>24</v>
      </c>
      <c r="L4" s="19" t="s">
        <v>25</v>
      </c>
      <c r="M4" s="19" t="s">
        <v>26</v>
      </c>
    </row>
    <row r="5" spans="1:13" ht="12">
      <c r="A5" s="4" t="s">
        <v>5</v>
      </c>
      <c r="B5" s="5">
        <f>B11+B17</f>
        <v>4960790.084999999</v>
      </c>
      <c r="C5" s="5">
        <f>C11+C17</f>
        <v>4985563.71</v>
      </c>
      <c r="D5" s="5">
        <v>5019713</v>
      </c>
      <c r="E5" s="5">
        <f aca="true" t="shared" si="0" ref="E5:J5">E11+E17</f>
        <v>5100932.21</v>
      </c>
      <c r="F5" s="5">
        <f t="shared" si="0"/>
        <v>5371714.592</v>
      </c>
      <c r="G5" s="20">
        <f t="shared" si="0"/>
        <v>5437729.364</v>
      </c>
      <c r="H5" s="20">
        <f t="shared" si="0"/>
        <v>5476728.067</v>
      </c>
      <c r="I5" s="20">
        <f t="shared" si="0"/>
        <v>5540331.947000001</v>
      </c>
      <c r="J5" s="20">
        <f t="shared" si="0"/>
        <v>5653543.218</v>
      </c>
      <c r="K5" s="20">
        <f>K11+K17</f>
        <v>5638035.0940000005</v>
      </c>
      <c r="L5" s="20">
        <f>L11+L17</f>
        <v>5615310.714</v>
      </c>
      <c r="M5" s="20">
        <f>M11+M17</f>
        <v>5453385.42</v>
      </c>
    </row>
    <row r="6" spans="1:13" ht="12">
      <c r="A6" s="6" t="s">
        <v>6</v>
      </c>
      <c r="B6" s="14"/>
      <c r="C6" s="14"/>
      <c r="D6" s="14"/>
      <c r="E6" s="14"/>
      <c r="F6" s="14"/>
      <c r="G6" s="21"/>
      <c r="H6" s="21"/>
      <c r="I6" s="21"/>
      <c r="J6" s="21"/>
      <c r="K6" s="21"/>
      <c r="L6" s="21"/>
      <c r="M6" s="21"/>
    </row>
    <row r="7" spans="1:13" ht="12">
      <c r="A7" s="7" t="s">
        <v>8</v>
      </c>
      <c r="B7" s="8">
        <f>B13+B19</f>
        <v>4960790.084999999</v>
      </c>
      <c r="C7" s="8">
        <f>C13+C19</f>
        <v>4985563.71</v>
      </c>
      <c r="D7" s="8">
        <v>5019713</v>
      </c>
      <c r="E7" s="8">
        <f aca="true" t="shared" si="1" ref="E7:J7">E13+E19</f>
        <v>5100932.21</v>
      </c>
      <c r="F7" s="8">
        <f t="shared" si="1"/>
        <v>5371714.592</v>
      </c>
      <c r="G7" s="17">
        <f t="shared" si="1"/>
        <v>5437729.364</v>
      </c>
      <c r="H7" s="17">
        <f t="shared" si="1"/>
        <v>5476728.067</v>
      </c>
      <c r="I7" s="17">
        <f t="shared" si="1"/>
        <v>5540331.947000001</v>
      </c>
      <c r="J7" s="17">
        <f t="shared" si="1"/>
        <v>5653543.218</v>
      </c>
      <c r="K7" s="17">
        <f>K13+K19</f>
        <v>5638035.0940000005</v>
      </c>
      <c r="L7" s="17">
        <f>L13+L19</f>
        <v>5615310.714</v>
      </c>
      <c r="M7" s="17">
        <f>M13+M19</f>
        <v>5453385.42</v>
      </c>
    </row>
    <row r="8" spans="1:13" ht="12">
      <c r="A8" s="9" t="s">
        <v>9</v>
      </c>
      <c r="B8" s="8"/>
      <c r="C8" s="8"/>
      <c r="D8" s="8"/>
      <c r="E8" s="8"/>
      <c r="F8" s="8"/>
      <c r="G8" s="17"/>
      <c r="H8" s="17"/>
      <c r="I8" s="17"/>
      <c r="J8" s="17"/>
      <c r="K8" s="17"/>
      <c r="L8" s="17"/>
      <c r="M8" s="17"/>
    </row>
    <row r="9" spans="1:13" ht="12">
      <c r="A9" s="9" t="s">
        <v>10</v>
      </c>
      <c r="B9" s="8">
        <f aca="true" t="shared" si="2" ref="B9:E10">B15+B21</f>
        <v>185505.963</v>
      </c>
      <c r="C9" s="8">
        <f t="shared" si="2"/>
        <v>185285.879</v>
      </c>
      <c r="D9" s="8">
        <v>185084</v>
      </c>
      <c r="E9" s="8">
        <f t="shared" si="2"/>
        <v>184932.519</v>
      </c>
      <c r="F9" s="8">
        <f aca="true" t="shared" si="3" ref="F9:H10">F15+F21</f>
        <v>184170.342</v>
      </c>
      <c r="G9" s="17">
        <f t="shared" si="3"/>
        <v>184008.118</v>
      </c>
      <c r="H9" s="17">
        <f t="shared" si="3"/>
        <v>232624.968</v>
      </c>
      <c r="I9" s="17">
        <f aca="true" t="shared" si="4" ref="I9:K10">I15+I21</f>
        <v>232474.001</v>
      </c>
      <c r="J9" s="17">
        <f t="shared" si="4"/>
        <v>232092.17</v>
      </c>
      <c r="K9" s="17">
        <f t="shared" si="4"/>
        <v>231486.463</v>
      </c>
      <c r="L9" s="17">
        <f>L15+L21</f>
        <v>231062.026</v>
      </c>
      <c r="M9" s="17">
        <f>M15+M21</f>
        <v>181265.932</v>
      </c>
    </row>
    <row r="10" spans="1:13" ht="22.5">
      <c r="A10" s="9" t="s">
        <v>34</v>
      </c>
      <c r="B10" s="8">
        <f t="shared" si="2"/>
        <v>4775284.1219999995</v>
      </c>
      <c r="C10" s="8">
        <f t="shared" si="2"/>
        <v>4800277.831</v>
      </c>
      <c r="D10" s="8">
        <v>4834629</v>
      </c>
      <c r="E10" s="8">
        <f t="shared" si="2"/>
        <v>4915999.691</v>
      </c>
      <c r="F10" s="8">
        <f t="shared" si="3"/>
        <v>5187544.25</v>
      </c>
      <c r="G10" s="17">
        <f t="shared" si="3"/>
        <v>5253721.246</v>
      </c>
      <c r="H10" s="17">
        <f t="shared" si="3"/>
        <v>5244103.098999999</v>
      </c>
      <c r="I10" s="17">
        <f t="shared" si="4"/>
        <v>5307857.946</v>
      </c>
      <c r="J10" s="17">
        <f t="shared" si="4"/>
        <v>5421451.048</v>
      </c>
      <c r="K10" s="17">
        <f t="shared" si="4"/>
        <v>5406548.631</v>
      </c>
      <c r="L10" s="17">
        <f>L16+L22</f>
        <v>5384248.688</v>
      </c>
      <c r="M10" s="17">
        <f>M16+M22</f>
        <v>5272119.488</v>
      </c>
    </row>
    <row r="11" spans="1:13" ht="22.5">
      <c r="A11" s="18" t="s">
        <v>12</v>
      </c>
      <c r="B11" s="5">
        <f>B15+B16</f>
        <v>2237735.6509999996</v>
      </c>
      <c r="C11" s="5">
        <f>C15+C16</f>
        <v>2231714.256</v>
      </c>
      <c r="D11" s="5">
        <v>2228220</v>
      </c>
      <c r="E11" s="5">
        <f aca="true" t="shared" si="5" ref="E11:J11">E15+E16</f>
        <v>2298506.2399999998</v>
      </c>
      <c r="F11" s="5">
        <f t="shared" si="5"/>
        <v>2332188.171</v>
      </c>
      <c r="G11" s="20">
        <f t="shared" si="5"/>
        <v>2341396.846</v>
      </c>
      <c r="H11" s="20">
        <f t="shared" si="5"/>
        <v>2424985.6569999997</v>
      </c>
      <c r="I11" s="20">
        <f t="shared" si="5"/>
        <v>2454857.9510000004</v>
      </c>
      <c r="J11" s="20">
        <f t="shared" si="5"/>
        <v>2482105.421</v>
      </c>
      <c r="K11" s="20">
        <f>K15+K16</f>
        <v>2477210.073</v>
      </c>
      <c r="L11" s="20">
        <f>L15+L16</f>
        <v>3619528.974</v>
      </c>
      <c r="M11" s="20">
        <f>M15+M16</f>
        <v>3840036.938</v>
      </c>
    </row>
    <row r="12" spans="1:13" ht="12">
      <c r="A12" s="10" t="s">
        <v>6</v>
      </c>
      <c r="B12" s="14"/>
      <c r="C12" s="14"/>
      <c r="D12" s="14"/>
      <c r="E12" s="14"/>
      <c r="F12" s="14"/>
      <c r="G12" s="21"/>
      <c r="H12" s="21"/>
      <c r="I12" s="21"/>
      <c r="J12" s="21"/>
      <c r="K12" s="21"/>
      <c r="L12" s="21"/>
      <c r="M12" s="21"/>
    </row>
    <row r="13" spans="1:13" ht="12">
      <c r="A13" s="7" t="s">
        <v>8</v>
      </c>
      <c r="B13" s="8">
        <f>B15+B16</f>
        <v>2237735.6509999996</v>
      </c>
      <c r="C13" s="8">
        <f>C15+C16</f>
        <v>2231714.256</v>
      </c>
      <c r="D13" s="8">
        <v>2228220</v>
      </c>
      <c r="E13" s="8">
        <f aca="true" t="shared" si="6" ref="E13:J13">E15+E16</f>
        <v>2298506.2399999998</v>
      </c>
      <c r="F13" s="8">
        <f t="shared" si="6"/>
        <v>2332188.171</v>
      </c>
      <c r="G13" s="17">
        <f t="shared" si="6"/>
        <v>2341396.846</v>
      </c>
      <c r="H13" s="17">
        <f t="shared" si="6"/>
        <v>2424985.6569999997</v>
      </c>
      <c r="I13" s="17">
        <f t="shared" si="6"/>
        <v>2454857.9510000004</v>
      </c>
      <c r="J13" s="17">
        <f t="shared" si="6"/>
        <v>2482105.421</v>
      </c>
      <c r="K13" s="17">
        <f>K15+K16</f>
        <v>2477210.073</v>
      </c>
      <c r="L13" s="17">
        <f>L15+L16</f>
        <v>3619528.974</v>
      </c>
      <c r="M13" s="17">
        <f>M15+M16</f>
        <v>3840036.938</v>
      </c>
    </row>
    <row r="14" spans="1:13" ht="12">
      <c r="A14" s="9" t="s">
        <v>13</v>
      </c>
      <c r="B14" s="8"/>
      <c r="C14" s="8"/>
      <c r="D14" s="8"/>
      <c r="E14" s="8"/>
      <c r="F14" s="8"/>
      <c r="G14" s="17"/>
      <c r="H14" s="17"/>
      <c r="I14" s="17"/>
      <c r="J14" s="17"/>
      <c r="K14" s="17"/>
      <c r="L14" s="17"/>
      <c r="M14" s="17"/>
    </row>
    <row r="15" spans="1:13" ht="12">
      <c r="A15" s="9" t="s">
        <v>10</v>
      </c>
      <c r="B15" s="8">
        <v>185505.963</v>
      </c>
      <c r="C15" s="8">
        <v>185285.879</v>
      </c>
      <c r="D15" s="8">
        <v>185084</v>
      </c>
      <c r="E15" s="8">
        <v>184932.519</v>
      </c>
      <c r="F15" s="8">
        <v>184170.342</v>
      </c>
      <c r="G15" s="17">
        <v>184008.118</v>
      </c>
      <c r="H15" s="17">
        <v>232624.968</v>
      </c>
      <c r="I15" s="17">
        <v>232474.001</v>
      </c>
      <c r="J15" s="17">
        <v>232092.17</v>
      </c>
      <c r="K15" s="17">
        <v>231486.463</v>
      </c>
      <c r="L15" s="17">
        <v>231062.026</v>
      </c>
      <c r="M15" s="17">
        <v>181265.932</v>
      </c>
    </row>
    <row r="16" spans="1:13" ht="22.5">
      <c r="A16" s="9" t="s">
        <v>34</v>
      </c>
      <c r="B16" s="8">
        <f>1771620.92+280608.768</f>
        <v>2052229.6879999998</v>
      </c>
      <c r="C16" s="8">
        <f>1754905.104+291523.273</f>
        <v>2046428.377</v>
      </c>
      <c r="D16" s="8">
        <v>2043136</v>
      </c>
      <c r="E16" s="8">
        <f>1799797.492+313776.229</f>
        <v>2113573.721</v>
      </c>
      <c r="F16" s="8">
        <f>1826112.212+321905.617</f>
        <v>2148017.829</v>
      </c>
      <c r="G16" s="17">
        <f>1845893.999+311494.729</f>
        <v>2157388.728</v>
      </c>
      <c r="H16" s="17">
        <f>1885195.13+307165.559</f>
        <v>2192360.689</v>
      </c>
      <c r="I16" s="17">
        <f>1919053.726+303330.224</f>
        <v>2222383.95</v>
      </c>
      <c r="J16" s="17">
        <f>1948952.591+301060.66</f>
        <v>2250013.251</v>
      </c>
      <c r="K16" s="17">
        <f>1946935.223+298788.387</f>
        <v>2245723.61</v>
      </c>
      <c r="L16" s="17">
        <f>3090375.695+298091.253</f>
        <v>3388466.948</v>
      </c>
      <c r="M16" s="17">
        <f>3354813.123+303957.883</f>
        <v>3658771.006</v>
      </c>
    </row>
    <row r="17" spans="1:13" ht="22.5">
      <c r="A17" s="18" t="s">
        <v>14</v>
      </c>
      <c r="B17" s="5">
        <f>B21+B22</f>
        <v>2723054.434</v>
      </c>
      <c r="C17" s="5">
        <f>C21+C22</f>
        <v>2753849.454</v>
      </c>
      <c r="D17" s="5">
        <v>2791493</v>
      </c>
      <c r="E17" s="5">
        <f aca="true" t="shared" si="7" ref="E17:J17">E21+E22</f>
        <v>2802425.97</v>
      </c>
      <c r="F17" s="5">
        <f t="shared" si="7"/>
        <v>3039526.421</v>
      </c>
      <c r="G17" s="20">
        <f t="shared" si="7"/>
        <v>3096332.518</v>
      </c>
      <c r="H17" s="20">
        <f t="shared" si="7"/>
        <v>3051742.41</v>
      </c>
      <c r="I17" s="20">
        <f t="shared" si="7"/>
        <v>3085473.996</v>
      </c>
      <c r="J17" s="20">
        <f t="shared" si="7"/>
        <v>3171437.7970000003</v>
      </c>
      <c r="K17" s="20">
        <f>K21+K22</f>
        <v>3160825.021</v>
      </c>
      <c r="L17" s="20">
        <f>L21+L22</f>
        <v>1995781.74</v>
      </c>
      <c r="M17" s="20">
        <f>M21+M22</f>
        <v>1613348.4819999998</v>
      </c>
    </row>
    <row r="18" spans="1:13" ht="12">
      <c r="A18" s="6" t="s">
        <v>6</v>
      </c>
      <c r="B18" s="8"/>
      <c r="C18" s="8"/>
      <c r="D18" s="8"/>
      <c r="E18" s="8"/>
      <c r="F18" s="8"/>
      <c r="G18" s="17"/>
      <c r="H18" s="17"/>
      <c r="I18" s="17"/>
      <c r="J18" s="17"/>
      <c r="K18" s="17"/>
      <c r="L18" s="17"/>
      <c r="M18" s="17"/>
    </row>
    <row r="19" spans="1:13" ht="12">
      <c r="A19" s="7" t="s">
        <v>8</v>
      </c>
      <c r="B19" s="8">
        <f>B21+B22</f>
        <v>2723054.434</v>
      </c>
      <c r="C19" s="8">
        <f>C21+C22</f>
        <v>2753849.454</v>
      </c>
      <c r="D19" s="8">
        <v>2791493</v>
      </c>
      <c r="E19" s="8">
        <f aca="true" t="shared" si="8" ref="E19:J19">E21+E22</f>
        <v>2802425.97</v>
      </c>
      <c r="F19" s="8">
        <f t="shared" si="8"/>
        <v>3039526.421</v>
      </c>
      <c r="G19" s="17">
        <f t="shared" si="8"/>
        <v>3096332.518</v>
      </c>
      <c r="H19" s="17">
        <f t="shared" si="8"/>
        <v>3051742.41</v>
      </c>
      <c r="I19" s="17">
        <f t="shared" si="8"/>
        <v>3085473.996</v>
      </c>
      <c r="J19" s="17">
        <f t="shared" si="8"/>
        <v>3171437.7970000003</v>
      </c>
      <c r="K19" s="17">
        <f>K21+K22</f>
        <v>3160825.021</v>
      </c>
      <c r="L19" s="17">
        <f>L21+L22</f>
        <v>1995781.74</v>
      </c>
      <c r="M19" s="17">
        <f>M21+M22</f>
        <v>1613348.4819999998</v>
      </c>
    </row>
    <row r="20" spans="1:13" ht="12">
      <c r="A20" s="9" t="s">
        <v>13</v>
      </c>
      <c r="B20" s="8"/>
      <c r="C20" s="8"/>
      <c r="D20" s="8"/>
      <c r="E20" s="8"/>
      <c r="F20" s="8"/>
      <c r="G20" s="17"/>
      <c r="H20" s="17"/>
      <c r="I20" s="17"/>
      <c r="J20" s="17"/>
      <c r="K20" s="17"/>
      <c r="L20" s="17"/>
      <c r="M20" s="17"/>
    </row>
    <row r="21" spans="1:13" ht="12">
      <c r="A21" s="9" t="s">
        <v>10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</row>
    <row r="22" spans="1:13" ht="22.5">
      <c r="A22" s="9" t="s">
        <v>34</v>
      </c>
      <c r="B22" s="8">
        <f>2720435.377+2619.057</f>
        <v>2723054.434</v>
      </c>
      <c r="C22" s="8">
        <f>2751104.852+2744.602</f>
        <v>2753849.454</v>
      </c>
      <c r="D22" s="8">
        <v>2791493</v>
      </c>
      <c r="E22" s="8">
        <f>2799205.109+3220.861</f>
        <v>2802425.97</v>
      </c>
      <c r="F22" s="8">
        <f>3036020.38+3506.041</f>
        <v>3039526.421</v>
      </c>
      <c r="G22" s="17">
        <f>3093034.018+3298.5</f>
        <v>3096332.518</v>
      </c>
      <c r="H22" s="17">
        <f>3047940.864+3801.546</f>
        <v>3051742.41</v>
      </c>
      <c r="I22" s="17">
        <f>3080514.601+4959.395</f>
        <v>3085473.996</v>
      </c>
      <c r="J22" s="17">
        <f>3164891.986+6545.811</f>
        <v>3171437.7970000003</v>
      </c>
      <c r="K22" s="17">
        <f>8422.074+3152402.947</f>
        <v>3160825.021</v>
      </c>
      <c r="L22" s="17">
        <f>1985414.797+10366.943</f>
        <v>1995781.74</v>
      </c>
      <c r="M22" s="17">
        <f>1600546.623+12801.859</f>
        <v>1613348.4819999998</v>
      </c>
    </row>
  </sheetData>
  <sheetProtection/>
  <mergeCells count="3">
    <mergeCell ref="B3:M3"/>
    <mergeCell ref="A1:M1"/>
    <mergeCell ref="A2:M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2"/>
  <sheetViews>
    <sheetView zoomScale="90" zoomScaleNormal="90" zoomScaleSheetLayoutView="100" zoomScalePageLayoutView="0" workbookViewId="0" topLeftCell="A1">
      <pane xSplit="1" ySplit="4" topLeftCell="B5" activePane="bottomRight" state="frozen"/>
      <selection pane="topLeft" activeCell="B3" sqref="B3:G3"/>
      <selection pane="topRight" activeCell="B3" sqref="B3:G3"/>
      <selection pane="bottomLeft" activeCell="B3" sqref="B3:G3"/>
      <selection pane="bottomRight" activeCell="F29" sqref="F29"/>
    </sheetView>
  </sheetViews>
  <sheetFormatPr defaultColWidth="9.00390625" defaultRowHeight="12.75"/>
  <cols>
    <col min="1" max="1" width="29.00390625" style="0" customWidth="1"/>
    <col min="2" max="2" width="10.75390625" style="0" customWidth="1"/>
    <col min="3" max="3" width="9.50390625" style="0" bestFit="1" customWidth="1"/>
    <col min="4" max="4" width="10.25390625" style="0" customWidth="1"/>
    <col min="5" max="5" width="9.75390625" style="0" bestFit="1" customWidth="1"/>
    <col min="6" max="6" width="11.00390625" style="0" customWidth="1"/>
    <col min="7" max="12" width="9.75390625" style="0" bestFit="1" customWidth="1"/>
    <col min="13" max="13" width="11.75390625" style="0" customWidth="1"/>
  </cols>
  <sheetData>
    <row r="1" spans="1:13" ht="15">
      <c r="A1" s="93" t="s">
        <v>32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2.75">
      <c r="A2" s="94" t="s">
        <v>31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2">
      <c r="A3" s="2" t="s">
        <v>0</v>
      </c>
      <c r="B3" s="90">
        <v>2008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12">
      <c r="A4" s="2" t="s">
        <v>1</v>
      </c>
      <c r="B4" s="3" t="s">
        <v>2</v>
      </c>
      <c r="C4" s="3" t="s">
        <v>3</v>
      </c>
      <c r="D4" s="3" t="s">
        <v>4</v>
      </c>
      <c r="E4" s="3" t="s">
        <v>19</v>
      </c>
      <c r="F4" s="3" t="s">
        <v>18</v>
      </c>
      <c r="G4" s="19" t="s">
        <v>20</v>
      </c>
      <c r="H4" s="19" t="s">
        <v>21</v>
      </c>
      <c r="I4" s="19" t="s">
        <v>22</v>
      </c>
      <c r="J4" s="19" t="s">
        <v>23</v>
      </c>
      <c r="K4" s="19" t="s">
        <v>24</v>
      </c>
      <c r="L4" s="19" t="s">
        <v>25</v>
      </c>
      <c r="M4" s="19" t="s">
        <v>26</v>
      </c>
    </row>
    <row r="5" spans="1:13" ht="12">
      <c r="A5" s="4" t="s">
        <v>5</v>
      </c>
      <c r="B5" s="5">
        <f aca="true" t="shared" si="0" ref="B5:G5">B11+B17</f>
        <v>4023764.1090000006</v>
      </c>
      <c r="C5" s="5">
        <f t="shared" si="0"/>
        <v>4158608.205</v>
      </c>
      <c r="D5" s="5">
        <f t="shared" si="0"/>
        <v>4318556.869</v>
      </c>
      <c r="E5" s="5">
        <f t="shared" si="0"/>
        <v>4414367.823999999</v>
      </c>
      <c r="F5" s="5">
        <f t="shared" si="0"/>
        <v>4470736.005</v>
      </c>
      <c r="G5" s="20">
        <f t="shared" si="0"/>
        <v>4539021.008</v>
      </c>
      <c r="H5" s="20">
        <f aca="true" t="shared" si="1" ref="H5:M5">H11+H17</f>
        <v>4601975.481999999</v>
      </c>
      <c r="I5" s="20">
        <f t="shared" si="1"/>
        <v>4652280.528</v>
      </c>
      <c r="J5" s="20">
        <f t="shared" si="1"/>
        <v>4713451.487</v>
      </c>
      <c r="K5" s="20">
        <f t="shared" si="1"/>
        <v>4748033.289</v>
      </c>
      <c r="L5" s="20">
        <f t="shared" si="1"/>
        <v>4772168.620999999</v>
      </c>
      <c r="M5" s="20">
        <f t="shared" si="1"/>
        <v>4860055.812000001</v>
      </c>
    </row>
    <row r="6" spans="1:13" ht="12">
      <c r="A6" s="6" t="s">
        <v>6</v>
      </c>
      <c r="B6" s="14"/>
      <c r="C6" s="14"/>
      <c r="D6" s="14"/>
      <c r="E6" s="14"/>
      <c r="F6" s="14"/>
      <c r="G6" s="21"/>
      <c r="H6" s="21"/>
      <c r="I6" s="21"/>
      <c r="J6" s="21"/>
      <c r="K6" s="21"/>
      <c r="L6" s="21"/>
      <c r="M6" s="21"/>
    </row>
    <row r="7" spans="1:13" ht="12">
      <c r="A7" s="7" t="s">
        <v>8</v>
      </c>
      <c r="B7" s="8">
        <f aca="true" t="shared" si="2" ref="B7:G7">B13+B19</f>
        <v>4023764.1090000006</v>
      </c>
      <c r="C7" s="8">
        <f t="shared" si="2"/>
        <v>4158608.205</v>
      </c>
      <c r="D7" s="8">
        <f t="shared" si="2"/>
        <v>4318556.869</v>
      </c>
      <c r="E7" s="8">
        <f t="shared" si="2"/>
        <v>4414367.823999999</v>
      </c>
      <c r="F7" s="8">
        <f t="shared" si="2"/>
        <v>4470736.005</v>
      </c>
      <c r="G7" s="17">
        <f t="shared" si="2"/>
        <v>4539021.008</v>
      </c>
      <c r="H7" s="17">
        <f aca="true" t="shared" si="3" ref="H7:M7">H13+H19</f>
        <v>4601975.481999999</v>
      </c>
      <c r="I7" s="17">
        <f t="shared" si="3"/>
        <v>4652280.528</v>
      </c>
      <c r="J7" s="17">
        <f t="shared" si="3"/>
        <v>4713451.487</v>
      </c>
      <c r="K7" s="17">
        <f t="shared" si="3"/>
        <v>4748033.289</v>
      </c>
      <c r="L7" s="17">
        <f t="shared" si="3"/>
        <v>4772168.620999999</v>
      </c>
      <c r="M7" s="17">
        <f t="shared" si="3"/>
        <v>4860055.812000001</v>
      </c>
    </row>
    <row r="8" spans="1:13" ht="12">
      <c r="A8" s="9" t="s">
        <v>9</v>
      </c>
      <c r="B8" s="8"/>
      <c r="C8" s="8"/>
      <c r="D8" s="8"/>
      <c r="E8" s="8"/>
      <c r="F8" s="8"/>
      <c r="G8" s="17"/>
      <c r="H8" s="17"/>
      <c r="I8" s="17"/>
      <c r="J8" s="17"/>
      <c r="K8" s="17"/>
      <c r="L8" s="17"/>
      <c r="M8" s="17"/>
    </row>
    <row r="9" spans="1:13" ht="12">
      <c r="A9" s="9" t="s">
        <v>10</v>
      </c>
      <c r="B9" s="8">
        <f aca="true" t="shared" si="4" ref="B9:D10">B15+B21</f>
        <v>191334.005</v>
      </c>
      <c r="C9" s="8">
        <f t="shared" si="4"/>
        <v>190931.268</v>
      </c>
      <c r="D9" s="8">
        <f t="shared" si="4"/>
        <v>190336.534</v>
      </c>
      <c r="E9" s="8">
        <f aca="true" t="shared" si="5" ref="E9:G10">E15+E21</f>
        <v>189201.738</v>
      </c>
      <c r="F9" s="8">
        <f t="shared" si="5"/>
        <v>189052.329</v>
      </c>
      <c r="G9" s="17">
        <f t="shared" si="5"/>
        <v>188597.621</v>
      </c>
      <c r="H9" s="17">
        <f aca="true" t="shared" si="6" ref="H9:J10">H15+H21</f>
        <v>187215.993</v>
      </c>
      <c r="I9" s="17">
        <f t="shared" si="6"/>
        <v>187003.105</v>
      </c>
      <c r="J9" s="17">
        <f t="shared" si="6"/>
        <v>186772.979</v>
      </c>
      <c r="K9" s="17">
        <f aca="true" t="shared" si="7" ref="K9:M10">K15+K21</f>
        <v>186561.777</v>
      </c>
      <c r="L9" s="17">
        <f t="shared" si="7"/>
        <v>186384.198</v>
      </c>
      <c r="M9" s="17">
        <f t="shared" si="7"/>
        <v>185766.109</v>
      </c>
    </row>
    <row r="10" spans="1:13" ht="22.5">
      <c r="A10" s="9" t="s">
        <v>34</v>
      </c>
      <c r="B10" s="8">
        <f t="shared" si="4"/>
        <v>3832430.1040000003</v>
      </c>
      <c r="C10" s="8">
        <f t="shared" si="4"/>
        <v>3967676.937</v>
      </c>
      <c r="D10" s="8">
        <f t="shared" si="4"/>
        <v>4128220.335</v>
      </c>
      <c r="E10" s="8">
        <f t="shared" si="5"/>
        <v>4225166.085999999</v>
      </c>
      <c r="F10" s="8">
        <f t="shared" si="5"/>
        <v>4281683.676</v>
      </c>
      <c r="G10" s="17">
        <f t="shared" si="5"/>
        <v>4350423.387</v>
      </c>
      <c r="H10" s="17">
        <f t="shared" si="6"/>
        <v>4414759.489</v>
      </c>
      <c r="I10" s="17">
        <f t="shared" si="6"/>
        <v>4465277.423</v>
      </c>
      <c r="J10" s="17">
        <f t="shared" si="6"/>
        <v>4526678.507999999</v>
      </c>
      <c r="K10" s="17">
        <f t="shared" si="7"/>
        <v>4561471.512</v>
      </c>
      <c r="L10" s="17">
        <f t="shared" si="7"/>
        <v>4585784.4229999995</v>
      </c>
      <c r="M10" s="17">
        <f t="shared" si="7"/>
        <v>4674289.703</v>
      </c>
    </row>
    <row r="11" spans="1:13" ht="22.5">
      <c r="A11" s="18" t="s">
        <v>12</v>
      </c>
      <c r="B11" s="5">
        <f aca="true" t="shared" si="8" ref="B11:G11">B15+B16</f>
        <v>1825032.4560000002</v>
      </c>
      <c r="C11" s="5">
        <f t="shared" si="8"/>
        <v>1902476.028</v>
      </c>
      <c r="D11" s="5">
        <f t="shared" si="8"/>
        <v>2010560.7719999999</v>
      </c>
      <c r="E11" s="5">
        <f t="shared" si="8"/>
        <v>2054580.133</v>
      </c>
      <c r="F11" s="5">
        <f t="shared" si="8"/>
        <v>2073870.728</v>
      </c>
      <c r="G11" s="20">
        <f t="shared" si="8"/>
        <v>2109826.551</v>
      </c>
      <c r="H11" s="20">
        <f aca="true" t="shared" si="9" ref="H11:M11">H15+H16</f>
        <v>2146566.1969999997</v>
      </c>
      <c r="I11" s="20">
        <f t="shared" si="9"/>
        <v>2178625.457</v>
      </c>
      <c r="J11" s="20">
        <f t="shared" si="9"/>
        <v>2239821.222</v>
      </c>
      <c r="K11" s="20">
        <f t="shared" si="9"/>
        <v>2258353.466</v>
      </c>
      <c r="L11" s="20">
        <f t="shared" si="9"/>
        <v>2262996.171</v>
      </c>
      <c r="M11" s="20">
        <f t="shared" si="9"/>
        <v>2274705.197</v>
      </c>
    </row>
    <row r="12" spans="1:13" ht="12">
      <c r="A12" s="10" t="s">
        <v>6</v>
      </c>
      <c r="B12" s="14"/>
      <c r="C12" s="14"/>
      <c r="D12" s="14"/>
      <c r="E12" s="14"/>
      <c r="F12" s="14"/>
      <c r="G12" s="21"/>
      <c r="H12" s="21"/>
      <c r="I12" s="21"/>
      <c r="J12" s="21"/>
      <c r="K12" s="21"/>
      <c r="L12" s="21"/>
      <c r="M12" s="21"/>
    </row>
    <row r="13" spans="1:13" ht="12">
      <c r="A13" s="7" t="s">
        <v>8</v>
      </c>
      <c r="B13" s="8">
        <f aca="true" t="shared" si="10" ref="B13:G13">B15+B16</f>
        <v>1825032.4560000002</v>
      </c>
      <c r="C13" s="8">
        <f t="shared" si="10"/>
        <v>1902476.028</v>
      </c>
      <c r="D13" s="8">
        <f t="shared" si="10"/>
        <v>2010560.7719999999</v>
      </c>
      <c r="E13" s="8">
        <f t="shared" si="10"/>
        <v>2054580.133</v>
      </c>
      <c r="F13" s="8">
        <f t="shared" si="10"/>
        <v>2073870.728</v>
      </c>
      <c r="G13" s="17">
        <f t="shared" si="10"/>
        <v>2109826.551</v>
      </c>
      <c r="H13" s="17">
        <f aca="true" t="shared" si="11" ref="H13:M13">H15+H16</f>
        <v>2146566.1969999997</v>
      </c>
      <c r="I13" s="17">
        <f t="shared" si="11"/>
        <v>2178625.457</v>
      </c>
      <c r="J13" s="17">
        <f t="shared" si="11"/>
        <v>2239821.222</v>
      </c>
      <c r="K13" s="17">
        <f t="shared" si="11"/>
        <v>2258353.466</v>
      </c>
      <c r="L13" s="17">
        <f t="shared" si="11"/>
        <v>2262996.171</v>
      </c>
      <c r="M13" s="17">
        <f t="shared" si="11"/>
        <v>2274705.197</v>
      </c>
    </row>
    <row r="14" spans="1:13" ht="12">
      <c r="A14" s="9" t="s">
        <v>13</v>
      </c>
      <c r="B14" s="8"/>
      <c r="C14" s="8"/>
      <c r="D14" s="8"/>
      <c r="E14" s="8"/>
      <c r="F14" s="8"/>
      <c r="G14" s="17"/>
      <c r="H14" s="17"/>
      <c r="I14" s="17"/>
      <c r="J14" s="17"/>
      <c r="K14" s="17"/>
      <c r="L14" s="17"/>
      <c r="M14" s="17"/>
    </row>
    <row r="15" spans="1:13" ht="12">
      <c r="A15" s="9" t="s">
        <v>10</v>
      </c>
      <c r="B15" s="8">
        <v>191334.005</v>
      </c>
      <c r="C15" s="8">
        <v>190931.268</v>
      </c>
      <c r="D15" s="8">
        <v>190336.534</v>
      </c>
      <c r="E15" s="8">
        <v>189201.738</v>
      </c>
      <c r="F15" s="8">
        <v>189052.329</v>
      </c>
      <c r="G15" s="17">
        <v>188597.621</v>
      </c>
      <c r="H15" s="17">
        <v>187215.993</v>
      </c>
      <c r="I15" s="17">
        <v>187003.105</v>
      </c>
      <c r="J15" s="17">
        <v>186772.979</v>
      </c>
      <c r="K15" s="17">
        <v>186561.777</v>
      </c>
      <c r="L15" s="17">
        <v>186384.198</v>
      </c>
      <c r="M15" s="17">
        <v>185766.109</v>
      </c>
    </row>
    <row r="16" spans="1:13" ht="22.5">
      <c r="A16" s="9" t="s">
        <v>34</v>
      </c>
      <c r="B16" s="8">
        <f>1471797.536+161900.915</f>
        <v>1633698.4510000001</v>
      </c>
      <c r="C16" s="8">
        <f>1537488.457+174056.303</f>
        <v>1711544.76</v>
      </c>
      <c r="D16" s="8">
        <f>1634724.774+185499.464</f>
        <v>1820224.238</v>
      </c>
      <c r="E16" s="8">
        <f>1668840.141+196538.254</f>
        <v>1865378.395</v>
      </c>
      <c r="F16" s="8">
        <f>1674264.838+210553.561</f>
        <v>1884818.399</v>
      </c>
      <c r="G16" s="17">
        <f>1702486.138+218742.792</f>
        <v>1921228.93</v>
      </c>
      <c r="H16" s="17">
        <f>1730907.707+228442.497</f>
        <v>1959350.204</v>
      </c>
      <c r="I16" s="17">
        <f>1756103.215+235519.137</f>
        <v>1991622.352</v>
      </c>
      <c r="J16" s="17">
        <f>1809049.55+243998.693</f>
        <v>2053048.243</v>
      </c>
      <c r="K16" s="17">
        <f>1820292.414+251499.275</f>
        <v>2071791.689</v>
      </c>
      <c r="L16" s="17">
        <f>1814430.67+262181.303</f>
        <v>2076611.973</v>
      </c>
      <c r="M16" s="17">
        <f>1817888.164+271050.924</f>
        <v>2088939.088</v>
      </c>
    </row>
    <row r="17" spans="1:13" ht="22.5">
      <c r="A17" s="18" t="s">
        <v>14</v>
      </c>
      <c r="B17" s="5">
        <f aca="true" t="shared" si="12" ref="B17:G17">B21+B22</f>
        <v>2198731.6530000004</v>
      </c>
      <c r="C17" s="5">
        <f t="shared" si="12"/>
        <v>2256132.177</v>
      </c>
      <c r="D17" s="5">
        <f t="shared" si="12"/>
        <v>2307996.097</v>
      </c>
      <c r="E17" s="5">
        <f t="shared" si="12"/>
        <v>2359787.6909999996</v>
      </c>
      <c r="F17" s="5">
        <f t="shared" si="12"/>
        <v>2396865.277</v>
      </c>
      <c r="G17" s="20">
        <f t="shared" si="12"/>
        <v>2429194.4570000004</v>
      </c>
      <c r="H17" s="20">
        <f aca="true" t="shared" si="13" ref="H17:M17">H21+H22</f>
        <v>2455409.2849999997</v>
      </c>
      <c r="I17" s="20">
        <f t="shared" si="13"/>
        <v>2473655.071</v>
      </c>
      <c r="J17" s="20">
        <f t="shared" si="13"/>
        <v>2473630.2649999997</v>
      </c>
      <c r="K17" s="20">
        <f t="shared" si="13"/>
        <v>2489679.823</v>
      </c>
      <c r="L17" s="20">
        <f t="shared" si="13"/>
        <v>2509172.4499999997</v>
      </c>
      <c r="M17" s="20">
        <f t="shared" si="13"/>
        <v>2585350.615</v>
      </c>
    </row>
    <row r="18" spans="1:13" ht="12">
      <c r="A18" s="6" t="s">
        <v>6</v>
      </c>
      <c r="B18" s="8"/>
      <c r="C18" s="8"/>
      <c r="D18" s="8"/>
      <c r="E18" s="8"/>
      <c r="F18" s="8"/>
      <c r="G18" s="17"/>
      <c r="H18" s="17"/>
      <c r="I18" s="17"/>
      <c r="J18" s="17"/>
      <c r="K18" s="17"/>
      <c r="L18" s="17"/>
      <c r="M18" s="17"/>
    </row>
    <row r="19" spans="1:13" ht="12">
      <c r="A19" s="7" t="s">
        <v>8</v>
      </c>
      <c r="B19" s="8">
        <f aca="true" t="shared" si="14" ref="B19:G19">B21+B22</f>
        <v>2198731.6530000004</v>
      </c>
      <c r="C19" s="8">
        <f t="shared" si="14"/>
        <v>2256132.177</v>
      </c>
      <c r="D19" s="8">
        <f t="shared" si="14"/>
        <v>2307996.097</v>
      </c>
      <c r="E19" s="8">
        <f t="shared" si="14"/>
        <v>2359787.6909999996</v>
      </c>
      <c r="F19" s="8">
        <f t="shared" si="14"/>
        <v>2396865.277</v>
      </c>
      <c r="G19" s="17">
        <f t="shared" si="14"/>
        <v>2429194.4570000004</v>
      </c>
      <c r="H19" s="17">
        <f aca="true" t="shared" si="15" ref="H19:M19">H21+H22</f>
        <v>2455409.2849999997</v>
      </c>
      <c r="I19" s="17">
        <f t="shared" si="15"/>
        <v>2473655.071</v>
      </c>
      <c r="J19" s="17">
        <f t="shared" si="15"/>
        <v>2473630.2649999997</v>
      </c>
      <c r="K19" s="17">
        <f t="shared" si="15"/>
        <v>2489679.823</v>
      </c>
      <c r="L19" s="17">
        <f t="shared" si="15"/>
        <v>2509172.4499999997</v>
      </c>
      <c r="M19" s="17">
        <f t="shared" si="15"/>
        <v>2585350.615</v>
      </c>
    </row>
    <row r="20" spans="1:13" ht="12">
      <c r="A20" s="9" t="s">
        <v>13</v>
      </c>
      <c r="B20" s="8"/>
      <c r="C20" s="8"/>
      <c r="D20" s="8"/>
      <c r="E20" s="8"/>
      <c r="F20" s="8"/>
      <c r="G20" s="17"/>
      <c r="H20" s="17"/>
      <c r="I20" s="17"/>
      <c r="J20" s="17"/>
      <c r="K20" s="17"/>
      <c r="L20" s="17"/>
      <c r="M20" s="17"/>
    </row>
    <row r="21" spans="1:13" ht="12">
      <c r="A21" s="9" t="s">
        <v>10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</row>
    <row r="22" spans="1:13" ht="22.5">
      <c r="A22" s="9" t="s">
        <v>34</v>
      </c>
      <c r="B22" s="8">
        <f>2197473.075+1258.578</f>
        <v>2198731.6530000004</v>
      </c>
      <c r="C22" s="8">
        <f>2254702.27+1429.907</f>
        <v>2256132.177</v>
      </c>
      <c r="D22" s="8">
        <f>2306438+1558.097</f>
        <v>2307996.097</v>
      </c>
      <c r="E22" s="8">
        <f>2358249.965+1537.726</f>
        <v>2359787.6909999996</v>
      </c>
      <c r="F22" s="8">
        <f>2395479.19+1386.087</f>
        <v>2396865.277</v>
      </c>
      <c r="G22" s="17">
        <f>2427880.473+1313.984</f>
        <v>2429194.4570000004</v>
      </c>
      <c r="H22" s="17">
        <f>2453946.752+1462.533</f>
        <v>2455409.2849999997</v>
      </c>
      <c r="I22" s="17">
        <f>2472011.544+1643.527</f>
        <v>2473655.071</v>
      </c>
      <c r="J22" s="17">
        <f>2471841.317+1788.948</f>
        <v>2473630.2649999997</v>
      </c>
      <c r="K22" s="17">
        <f>2487645.906+2033.917</f>
        <v>2489679.823</v>
      </c>
      <c r="L22" s="17">
        <f>2507277.55+1894.9</f>
        <v>2509172.4499999997</v>
      </c>
      <c r="M22" s="17">
        <f>2583037.31+2313.305</f>
        <v>2585350.615</v>
      </c>
    </row>
  </sheetData>
  <sheetProtection/>
  <mergeCells count="3">
    <mergeCell ref="B3:M3"/>
    <mergeCell ref="A1:M1"/>
    <mergeCell ref="A2:M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7"/>
  <sheetViews>
    <sheetView zoomScale="90" zoomScaleNormal="90" zoomScaleSheetLayoutView="100" zoomScalePageLayoutView="0" workbookViewId="0" topLeftCell="A1">
      <pane xSplit="1" ySplit="4" topLeftCell="B5" activePane="bottomRight" state="frozen"/>
      <selection pane="topLeft" activeCell="B3" sqref="B3:G3"/>
      <selection pane="topRight" activeCell="B3" sqref="B3:G3"/>
      <selection pane="bottomLeft" activeCell="B3" sqref="B3:G3"/>
      <selection pane="bottomRight" activeCell="B3" sqref="B3:M3"/>
    </sheetView>
  </sheetViews>
  <sheetFormatPr defaultColWidth="9.00390625" defaultRowHeight="12.75"/>
  <cols>
    <col min="1" max="1" width="29.00390625" style="0" customWidth="1"/>
    <col min="2" max="2" width="10.75390625" style="0" customWidth="1"/>
    <col min="3" max="3" width="9.50390625" style="0" bestFit="1" customWidth="1"/>
    <col min="4" max="4" width="10.25390625" style="0" customWidth="1"/>
    <col min="5" max="5" width="9.75390625" style="0" bestFit="1" customWidth="1"/>
    <col min="6" max="6" width="11.00390625" style="0" customWidth="1"/>
    <col min="7" max="12" width="9.75390625" style="0" bestFit="1" customWidth="1"/>
    <col min="13" max="13" width="11.75390625" style="0" customWidth="1"/>
  </cols>
  <sheetData>
    <row r="1" spans="1:13" ht="15">
      <c r="A1" s="93" t="s">
        <v>32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2.75">
      <c r="A2" s="94" t="s">
        <v>31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2">
      <c r="A3" s="2" t="s">
        <v>0</v>
      </c>
      <c r="B3" s="90">
        <v>2007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12">
      <c r="A4" s="2" t="s">
        <v>1</v>
      </c>
      <c r="B4" s="3" t="s">
        <v>2</v>
      </c>
      <c r="C4" s="3" t="s">
        <v>3</v>
      </c>
      <c r="D4" s="3" t="s">
        <v>4</v>
      </c>
      <c r="E4" s="3" t="s">
        <v>19</v>
      </c>
      <c r="F4" s="3" t="s">
        <v>18</v>
      </c>
      <c r="G4" s="19" t="s">
        <v>20</v>
      </c>
      <c r="H4" s="19" t="s">
        <v>21</v>
      </c>
      <c r="I4" s="19" t="s">
        <v>22</v>
      </c>
      <c r="J4" s="19" t="s">
        <v>23</v>
      </c>
      <c r="K4" s="19" t="s">
        <v>24</v>
      </c>
      <c r="L4" s="19" t="s">
        <v>25</v>
      </c>
      <c r="M4" s="19" t="s">
        <v>26</v>
      </c>
    </row>
    <row r="5" spans="1:13" ht="12">
      <c r="A5" s="4" t="s">
        <v>5</v>
      </c>
      <c r="B5" s="5">
        <f aca="true" t="shared" si="0" ref="B5:G5">B11+B17</f>
        <v>2444806.3030000003</v>
      </c>
      <c r="C5" s="5">
        <f t="shared" si="0"/>
        <v>2519088.199</v>
      </c>
      <c r="D5" s="5">
        <f t="shared" si="0"/>
        <v>2582988.7139999997</v>
      </c>
      <c r="E5" s="5">
        <f t="shared" si="0"/>
        <v>2644048.5130000003</v>
      </c>
      <c r="F5" s="5">
        <f t="shared" si="0"/>
        <v>2728599.5429999996</v>
      </c>
      <c r="G5" s="20">
        <f t="shared" si="0"/>
        <v>2797224.3449999997</v>
      </c>
      <c r="H5" s="20">
        <f aca="true" t="shared" si="1" ref="H5:M5">H11+H17</f>
        <v>2905511.665</v>
      </c>
      <c r="I5" s="20">
        <f t="shared" si="1"/>
        <v>3037840.755</v>
      </c>
      <c r="J5" s="20">
        <f t="shared" si="1"/>
        <v>3164378.168</v>
      </c>
      <c r="K5" s="20">
        <f t="shared" si="1"/>
        <v>3624082.6909999996</v>
      </c>
      <c r="L5" s="20">
        <f t="shared" si="1"/>
        <v>3909527.692</v>
      </c>
      <c r="M5" s="20">
        <f t="shared" si="1"/>
        <v>3977237.133</v>
      </c>
    </row>
    <row r="6" spans="1:13" ht="12">
      <c r="A6" s="6" t="s">
        <v>6</v>
      </c>
      <c r="B6" s="14"/>
      <c r="C6" s="14"/>
      <c r="D6" s="14"/>
      <c r="E6" s="14"/>
      <c r="F6" s="14"/>
      <c r="G6" s="21"/>
      <c r="H6" s="21"/>
      <c r="I6" s="21"/>
      <c r="J6" s="21"/>
      <c r="K6" s="21"/>
      <c r="L6" s="21"/>
      <c r="M6" s="21"/>
    </row>
    <row r="7" spans="1:13" ht="12">
      <c r="A7" s="7" t="s">
        <v>8</v>
      </c>
      <c r="B7" s="8">
        <f aca="true" t="shared" si="2" ref="B7:G7">B13+B19</f>
        <v>2444806.3030000003</v>
      </c>
      <c r="C7" s="8">
        <f t="shared" si="2"/>
        <v>2519088.199</v>
      </c>
      <c r="D7" s="8">
        <f t="shared" si="2"/>
        <v>2582988.7139999997</v>
      </c>
      <c r="E7" s="8">
        <f t="shared" si="2"/>
        <v>2644048.5130000003</v>
      </c>
      <c r="F7" s="8">
        <f t="shared" si="2"/>
        <v>2728599.5429999996</v>
      </c>
      <c r="G7" s="17">
        <f t="shared" si="2"/>
        <v>2797224.3449999997</v>
      </c>
      <c r="H7" s="17">
        <f aca="true" t="shared" si="3" ref="H7:M7">H13+H19</f>
        <v>2905511.665</v>
      </c>
      <c r="I7" s="17">
        <f t="shared" si="3"/>
        <v>3037840.755</v>
      </c>
      <c r="J7" s="17">
        <f t="shared" si="3"/>
        <v>3164378.168</v>
      </c>
      <c r="K7" s="17">
        <f t="shared" si="3"/>
        <v>3624082.6909999996</v>
      </c>
      <c r="L7" s="17">
        <f t="shared" si="3"/>
        <v>3909527.692</v>
      </c>
      <c r="M7" s="17">
        <f t="shared" si="3"/>
        <v>3977237.133</v>
      </c>
    </row>
    <row r="8" spans="1:13" ht="12">
      <c r="A8" s="9" t="s">
        <v>9</v>
      </c>
      <c r="B8" s="8"/>
      <c r="C8" s="8"/>
      <c r="D8" s="8"/>
      <c r="E8" s="8"/>
      <c r="F8" s="8"/>
      <c r="G8" s="17"/>
      <c r="H8" s="17"/>
      <c r="I8" s="17"/>
      <c r="J8" s="17"/>
      <c r="K8" s="17"/>
      <c r="L8" s="17"/>
      <c r="M8" s="17"/>
    </row>
    <row r="9" spans="1:13" ht="12">
      <c r="A9" s="9" t="s">
        <v>10</v>
      </c>
      <c r="B9" s="8">
        <f aca="true" t="shared" si="4" ref="B9:D10">B15+B21</f>
        <v>174120.43899999998</v>
      </c>
      <c r="C9" s="8">
        <f t="shared" si="4"/>
        <v>173490.057</v>
      </c>
      <c r="D9" s="8">
        <f t="shared" si="4"/>
        <v>173639.272</v>
      </c>
      <c r="E9" s="8">
        <f aca="true" t="shared" si="5" ref="E9:G10">E15+E21</f>
        <v>173977.03</v>
      </c>
      <c r="F9" s="8">
        <f t="shared" si="5"/>
        <v>174212.717</v>
      </c>
      <c r="G9" s="17">
        <f t="shared" si="5"/>
        <v>173647.957</v>
      </c>
      <c r="H9" s="17">
        <f aca="true" t="shared" si="6" ref="H9:J10">H15+H21</f>
        <v>174016.96600000001</v>
      </c>
      <c r="I9" s="17">
        <f t="shared" si="6"/>
        <v>184890.99</v>
      </c>
      <c r="J9" s="17">
        <f t="shared" si="6"/>
        <v>185457.29700000002</v>
      </c>
      <c r="K9" s="17">
        <f aca="true" t="shared" si="7" ref="K9:M10">K15+K21</f>
        <v>185784.63700000002</v>
      </c>
      <c r="L9" s="17">
        <f t="shared" si="7"/>
        <v>187312.724</v>
      </c>
      <c r="M9" s="17">
        <f t="shared" si="7"/>
        <v>190858.345</v>
      </c>
    </row>
    <row r="10" spans="1:13" ht="22.5">
      <c r="A10" s="9" t="s">
        <v>34</v>
      </c>
      <c r="B10" s="8">
        <f t="shared" si="4"/>
        <v>2270685.864</v>
      </c>
      <c r="C10" s="8">
        <f t="shared" si="4"/>
        <v>2345598.142</v>
      </c>
      <c r="D10" s="8">
        <f t="shared" si="4"/>
        <v>2409349.442</v>
      </c>
      <c r="E10" s="8">
        <f t="shared" si="5"/>
        <v>2470071.483</v>
      </c>
      <c r="F10" s="8">
        <f t="shared" si="5"/>
        <v>2554386.826</v>
      </c>
      <c r="G10" s="17">
        <f t="shared" si="5"/>
        <v>2623576.388</v>
      </c>
      <c r="H10" s="17">
        <f t="shared" si="6"/>
        <v>2731494.699</v>
      </c>
      <c r="I10" s="17">
        <f t="shared" si="6"/>
        <v>2852949.765</v>
      </c>
      <c r="J10" s="17">
        <f t="shared" si="6"/>
        <v>2978920.871</v>
      </c>
      <c r="K10" s="17">
        <f t="shared" si="7"/>
        <v>3438298.0539999995</v>
      </c>
      <c r="L10" s="17">
        <f t="shared" si="7"/>
        <v>3722214.968</v>
      </c>
      <c r="M10" s="17">
        <f t="shared" si="7"/>
        <v>3786378.7879999997</v>
      </c>
    </row>
    <row r="11" spans="1:13" ht="22.5">
      <c r="A11" s="18" t="s">
        <v>12</v>
      </c>
      <c r="B11" s="5">
        <f aca="true" t="shared" si="8" ref="B11:G11">B15+B16</f>
        <v>610412.788</v>
      </c>
      <c r="C11" s="5">
        <f t="shared" si="8"/>
        <v>590826.356</v>
      </c>
      <c r="D11" s="5">
        <f t="shared" si="8"/>
        <v>606225.8289999999</v>
      </c>
      <c r="E11" s="5">
        <f t="shared" si="8"/>
        <v>621561.015</v>
      </c>
      <c r="F11" s="5">
        <f t="shared" si="8"/>
        <v>667447.2509999999</v>
      </c>
      <c r="G11" s="20">
        <f t="shared" si="8"/>
        <v>711989.838</v>
      </c>
      <c r="H11" s="20">
        <f aca="true" t="shared" si="9" ref="H11:M11">H15+H16</f>
        <v>725106.4720000001</v>
      </c>
      <c r="I11" s="20">
        <f t="shared" si="9"/>
        <v>795795.03</v>
      </c>
      <c r="J11" s="20">
        <f t="shared" si="9"/>
        <v>881995.359</v>
      </c>
      <c r="K11" s="20">
        <f t="shared" si="9"/>
        <v>872339.581</v>
      </c>
      <c r="L11" s="20">
        <f t="shared" si="9"/>
        <v>999983.11</v>
      </c>
      <c r="M11" s="20">
        <f t="shared" si="9"/>
        <v>991525.36</v>
      </c>
    </row>
    <row r="12" spans="1:13" ht="12">
      <c r="A12" s="10" t="s">
        <v>6</v>
      </c>
      <c r="B12" s="14"/>
      <c r="C12" s="14"/>
      <c r="D12" s="14"/>
      <c r="E12" s="14"/>
      <c r="F12" s="14"/>
      <c r="G12" s="21"/>
      <c r="H12" s="21"/>
      <c r="I12" s="21"/>
      <c r="J12" s="21"/>
      <c r="K12" s="21"/>
      <c r="L12" s="21"/>
      <c r="M12" s="21"/>
    </row>
    <row r="13" spans="1:13" ht="12">
      <c r="A13" s="7" t="s">
        <v>8</v>
      </c>
      <c r="B13" s="8">
        <f aca="true" t="shared" si="10" ref="B13:G13">B15+B16</f>
        <v>610412.788</v>
      </c>
      <c r="C13" s="8">
        <f t="shared" si="10"/>
        <v>590826.356</v>
      </c>
      <c r="D13" s="8">
        <f t="shared" si="10"/>
        <v>606225.8289999999</v>
      </c>
      <c r="E13" s="8">
        <f t="shared" si="10"/>
        <v>621561.015</v>
      </c>
      <c r="F13" s="8">
        <f t="shared" si="10"/>
        <v>667447.2509999999</v>
      </c>
      <c r="G13" s="17">
        <f t="shared" si="10"/>
        <v>711989.838</v>
      </c>
      <c r="H13" s="17">
        <f aca="true" t="shared" si="11" ref="H13:M13">H15+H16</f>
        <v>725106.4720000001</v>
      </c>
      <c r="I13" s="17">
        <f t="shared" si="11"/>
        <v>795795.03</v>
      </c>
      <c r="J13" s="17">
        <f t="shared" si="11"/>
        <v>881995.359</v>
      </c>
      <c r="K13" s="17">
        <f t="shared" si="11"/>
        <v>872339.581</v>
      </c>
      <c r="L13" s="17">
        <f t="shared" si="11"/>
        <v>999983.11</v>
      </c>
      <c r="M13" s="17">
        <f t="shared" si="11"/>
        <v>991525.36</v>
      </c>
    </row>
    <row r="14" spans="1:13" ht="12">
      <c r="A14" s="9" t="s">
        <v>13</v>
      </c>
      <c r="B14" s="8"/>
      <c r="C14" s="8"/>
      <c r="D14" s="8"/>
      <c r="E14" s="8"/>
      <c r="F14" s="8"/>
      <c r="G14" s="17"/>
      <c r="H14" s="17"/>
      <c r="I14" s="17"/>
      <c r="J14" s="17"/>
      <c r="K14" s="17"/>
      <c r="L14" s="17"/>
      <c r="M14" s="17"/>
    </row>
    <row r="15" spans="1:13" ht="12">
      <c r="A15" s="9" t="s">
        <v>10</v>
      </c>
      <c r="B15" s="8">
        <v>139647.061</v>
      </c>
      <c r="C15" s="8">
        <v>139034.861</v>
      </c>
      <c r="D15" s="8">
        <v>139197.506</v>
      </c>
      <c r="E15" s="8">
        <v>139548.446</v>
      </c>
      <c r="F15" s="8">
        <v>139799.23</v>
      </c>
      <c r="G15" s="17">
        <v>139256.533</v>
      </c>
      <c r="H15" s="17">
        <v>139645.543</v>
      </c>
      <c r="I15" s="17">
        <v>150520.601</v>
      </c>
      <c r="J15" s="17">
        <v>151088.978</v>
      </c>
      <c r="K15" s="17">
        <v>151456.469</v>
      </c>
      <c r="L15" s="17">
        <v>153016.297</v>
      </c>
      <c r="M15" s="17">
        <v>156564.154</v>
      </c>
    </row>
    <row r="16" spans="1:13" ht="22.5">
      <c r="A16" s="9" t="s">
        <v>34</v>
      </c>
      <c r="B16" s="8">
        <f>394849+75916.727</f>
        <v>470765.727</v>
      </c>
      <c r="C16" s="8">
        <f>369164.6+82626.895</f>
        <v>451791.495</v>
      </c>
      <c r="D16" s="8">
        <f>378330+88698.323</f>
        <v>467028.323</v>
      </c>
      <c r="E16" s="8">
        <f>387828.001+94184.568</f>
        <v>482012.569</v>
      </c>
      <c r="F16" s="8">
        <f>431552.064+96095.957</f>
        <v>527648.021</v>
      </c>
      <c r="G16" s="17">
        <f>471210.197+101523.108</f>
        <v>572733.3049999999</v>
      </c>
      <c r="H16" s="17">
        <f>478340.902+107120.027</f>
        <v>585460.929</v>
      </c>
      <c r="I16" s="17">
        <f>531256.749+114017.68</f>
        <v>645274.429</v>
      </c>
      <c r="J16" s="17">
        <f>613266.246+117640.135</f>
        <v>730906.381</v>
      </c>
      <c r="K16" s="17">
        <f>590653.557+130229.555</f>
        <v>720883.112</v>
      </c>
      <c r="L16" s="17">
        <f>676591.183+170375.63</f>
        <v>846966.813</v>
      </c>
      <c r="M16" s="17">
        <f>680645.678+154315.528</f>
        <v>834961.206</v>
      </c>
    </row>
    <row r="17" spans="1:13" ht="22.5">
      <c r="A17" s="18" t="s">
        <v>14</v>
      </c>
      <c r="B17" s="5">
        <f aca="true" t="shared" si="12" ref="B17:G17">B21+B22</f>
        <v>1834393.5150000001</v>
      </c>
      <c r="C17" s="5">
        <f t="shared" si="12"/>
        <v>1928261.843</v>
      </c>
      <c r="D17" s="5">
        <f t="shared" si="12"/>
        <v>1976762.885</v>
      </c>
      <c r="E17" s="5">
        <f t="shared" si="12"/>
        <v>2022487.4980000001</v>
      </c>
      <c r="F17" s="5">
        <f t="shared" si="12"/>
        <v>2061152.292</v>
      </c>
      <c r="G17" s="20">
        <f t="shared" si="12"/>
        <v>2085234.5069999998</v>
      </c>
      <c r="H17" s="20">
        <f aca="true" t="shared" si="13" ref="H17:M17">H21+H22</f>
        <v>2180405.193</v>
      </c>
      <c r="I17" s="20">
        <f t="shared" si="13"/>
        <v>2242045.725</v>
      </c>
      <c r="J17" s="20">
        <f t="shared" si="13"/>
        <v>2282382.809</v>
      </c>
      <c r="K17" s="20">
        <f t="shared" si="13"/>
        <v>2751743.11</v>
      </c>
      <c r="L17" s="20">
        <f t="shared" si="13"/>
        <v>2909544.582</v>
      </c>
      <c r="M17" s="20">
        <f t="shared" si="13"/>
        <v>2985711.773</v>
      </c>
    </row>
    <row r="18" spans="1:13" ht="12">
      <c r="A18" s="6" t="s">
        <v>6</v>
      </c>
      <c r="B18" s="8"/>
      <c r="C18" s="8"/>
      <c r="D18" s="8"/>
      <c r="E18" s="8"/>
      <c r="F18" s="8"/>
      <c r="G18" s="17"/>
      <c r="H18" s="17"/>
      <c r="I18" s="17"/>
      <c r="J18" s="17"/>
      <c r="K18" s="17"/>
      <c r="L18" s="17"/>
      <c r="M18" s="17"/>
    </row>
    <row r="19" spans="1:13" ht="12">
      <c r="A19" s="7" t="s">
        <v>8</v>
      </c>
      <c r="B19" s="8">
        <f aca="true" t="shared" si="14" ref="B19:G19">B21+B22</f>
        <v>1834393.5150000001</v>
      </c>
      <c r="C19" s="8">
        <f t="shared" si="14"/>
        <v>1928261.843</v>
      </c>
      <c r="D19" s="8">
        <f t="shared" si="14"/>
        <v>1976762.885</v>
      </c>
      <c r="E19" s="8">
        <f t="shared" si="14"/>
        <v>2022487.4980000001</v>
      </c>
      <c r="F19" s="8">
        <f t="shared" si="14"/>
        <v>2061152.292</v>
      </c>
      <c r="G19" s="17">
        <f t="shared" si="14"/>
        <v>2085234.5069999998</v>
      </c>
      <c r="H19" s="17">
        <f aca="true" t="shared" si="15" ref="H19:M19">H21+H22</f>
        <v>2180405.193</v>
      </c>
      <c r="I19" s="17">
        <f t="shared" si="15"/>
        <v>2242045.725</v>
      </c>
      <c r="J19" s="17">
        <f t="shared" si="15"/>
        <v>2282382.809</v>
      </c>
      <c r="K19" s="17">
        <f t="shared" si="15"/>
        <v>2751743.11</v>
      </c>
      <c r="L19" s="17">
        <f t="shared" si="15"/>
        <v>2909544.582</v>
      </c>
      <c r="M19" s="17">
        <f t="shared" si="15"/>
        <v>2985711.773</v>
      </c>
    </row>
    <row r="20" spans="1:13" ht="12">
      <c r="A20" s="9" t="s">
        <v>13</v>
      </c>
      <c r="B20" s="8"/>
      <c r="C20" s="8"/>
      <c r="D20" s="8"/>
      <c r="E20" s="8"/>
      <c r="F20" s="8"/>
      <c r="G20" s="17"/>
      <c r="H20" s="17"/>
      <c r="I20" s="17"/>
      <c r="J20" s="17"/>
      <c r="K20" s="17"/>
      <c r="L20" s="17"/>
      <c r="M20" s="17"/>
    </row>
    <row r="21" spans="1:13" ht="12">
      <c r="A21" s="9" t="s">
        <v>10</v>
      </c>
      <c r="B21" s="16">
        <v>34473.378</v>
      </c>
      <c r="C21" s="16">
        <v>34455.196</v>
      </c>
      <c r="D21" s="16">
        <v>34441.766</v>
      </c>
      <c r="E21" s="16">
        <v>34428.584</v>
      </c>
      <c r="F21" s="16">
        <v>34413.487</v>
      </c>
      <c r="G21" s="22">
        <v>34391.424</v>
      </c>
      <c r="H21" s="22">
        <v>34371.423</v>
      </c>
      <c r="I21" s="22">
        <v>34370.389</v>
      </c>
      <c r="J21" s="22">
        <v>34368.319</v>
      </c>
      <c r="K21" s="22">
        <v>34328.168</v>
      </c>
      <c r="L21" s="22">
        <v>34296.427</v>
      </c>
      <c r="M21" s="22">
        <v>34294.191</v>
      </c>
    </row>
    <row r="22" spans="1:13" ht="22.5">
      <c r="A22" s="9" t="s">
        <v>34</v>
      </c>
      <c r="B22" s="8">
        <f>1799883+37.137</f>
        <v>1799920.137</v>
      </c>
      <c r="C22" s="8">
        <f>1893733+73.647</f>
        <v>1893806.647</v>
      </c>
      <c r="D22" s="8">
        <f>1942234+87.119</f>
        <v>1942321.119</v>
      </c>
      <c r="E22" s="8">
        <f>1987956.726+102.188</f>
        <v>1988058.914</v>
      </c>
      <c r="F22" s="8">
        <f>2026299.591+439.214</f>
        <v>2026738.805</v>
      </c>
      <c r="G22" s="17">
        <f>1306525.329+743909+408.754</f>
        <v>2050843.0829999999</v>
      </c>
      <c r="H22" s="17">
        <f>1401646.338+743909+478.432</f>
        <v>2146033.77</v>
      </c>
      <c r="I22" s="17">
        <f>1463244.832+743909+521.504</f>
        <v>2207675.336</v>
      </c>
      <c r="J22" s="17">
        <f>1503588.616+743909+516.874</f>
        <v>2248014.4899999998</v>
      </c>
      <c r="K22" s="17">
        <f>2716725.414+689.528</f>
        <v>2717414.942</v>
      </c>
      <c r="L22" s="17">
        <f>2874303.573+944.582</f>
        <v>2875248.155</v>
      </c>
      <c r="M22" s="17">
        <f>2950075.556+1342.026</f>
        <v>2951417.582</v>
      </c>
    </row>
    <row r="23" spans="1:13" ht="12">
      <c r="A23" s="26" t="s">
        <v>15</v>
      </c>
      <c r="B23" s="13"/>
      <c r="C23" s="13"/>
      <c r="D23" s="13"/>
      <c r="E23" s="13"/>
      <c r="F23" s="13"/>
      <c r="G23" s="23"/>
      <c r="H23" s="23"/>
      <c r="I23" s="23"/>
      <c r="J23" s="23"/>
      <c r="K23" s="23"/>
      <c r="L23" s="23"/>
      <c r="M23" s="23"/>
    </row>
    <row r="24" spans="1:13" ht="22.5">
      <c r="A24" s="4" t="s">
        <v>35</v>
      </c>
      <c r="B24" s="1">
        <f aca="true" t="shared" si="16" ref="B24:G24">B26+B27</f>
        <v>27850.747000000003</v>
      </c>
      <c r="C24" s="1">
        <f t="shared" si="16"/>
        <v>30711.281000000003</v>
      </c>
      <c r="D24" s="1">
        <f t="shared" si="16"/>
        <v>33197.288</v>
      </c>
      <c r="E24" s="1">
        <f t="shared" si="16"/>
        <v>33909.649</v>
      </c>
      <c r="F24" s="1">
        <f t="shared" si="16"/>
        <v>34619.990999999995</v>
      </c>
      <c r="G24" s="20">
        <f t="shared" si="16"/>
        <v>32617.506</v>
      </c>
      <c r="H24" s="20">
        <f aca="true" t="shared" si="17" ref="H24:M24">H26+H27</f>
        <v>39560.036</v>
      </c>
      <c r="I24" s="20">
        <f t="shared" si="17"/>
        <v>37060.684</v>
      </c>
      <c r="J24" s="20">
        <f t="shared" si="17"/>
        <v>37084.025</v>
      </c>
      <c r="K24" s="20">
        <f t="shared" si="17"/>
        <v>38904.982</v>
      </c>
      <c r="L24" s="20">
        <f t="shared" si="17"/>
        <v>38020.172</v>
      </c>
      <c r="M24" s="20">
        <f t="shared" si="17"/>
        <v>29153.612</v>
      </c>
    </row>
    <row r="25" spans="1:13" ht="12">
      <c r="A25" s="11" t="s">
        <v>6</v>
      </c>
      <c r="B25" s="8"/>
      <c r="C25" s="8"/>
      <c r="D25" s="8"/>
      <c r="E25" s="8"/>
      <c r="F25" s="8"/>
      <c r="G25" s="17"/>
      <c r="H25" s="17"/>
      <c r="I25" s="17"/>
      <c r="J25" s="17"/>
      <c r="K25" s="17"/>
      <c r="L25" s="17"/>
      <c r="M25" s="17"/>
    </row>
    <row r="26" spans="1:13" ht="22.5">
      <c r="A26" s="12" t="s">
        <v>17</v>
      </c>
      <c r="B26" s="15">
        <v>16336.53</v>
      </c>
      <c r="C26" s="15">
        <v>18024.166</v>
      </c>
      <c r="D26" s="15">
        <v>21019.768</v>
      </c>
      <c r="E26" s="15">
        <v>20171.564</v>
      </c>
      <c r="F26" s="15">
        <v>21148.171</v>
      </c>
      <c r="G26" s="25">
        <v>19783.464</v>
      </c>
      <c r="H26" s="25">
        <v>18208.802</v>
      </c>
      <c r="I26" s="25">
        <v>19779.553</v>
      </c>
      <c r="J26" s="25">
        <v>17401.909</v>
      </c>
      <c r="K26" s="25">
        <v>21534.685</v>
      </c>
      <c r="L26" s="25">
        <v>22604.391</v>
      </c>
      <c r="M26" s="25">
        <v>18076.33</v>
      </c>
    </row>
    <row r="27" spans="1:13" ht="12">
      <c r="A27" s="12" t="s">
        <v>28</v>
      </c>
      <c r="B27" s="15">
        <v>11514.217</v>
      </c>
      <c r="C27" s="15">
        <v>12687.115</v>
      </c>
      <c r="D27" s="15">
        <v>12177.52</v>
      </c>
      <c r="E27" s="15">
        <v>13738.085</v>
      </c>
      <c r="F27" s="15">
        <v>13471.82</v>
      </c>
      <c r="G27" s="25">
        <v>12834.042</v>
      </c>
      <c r="H27" s="25">
        <v>21351.234</v>
      </c>
      <c r="I27" s="25">
        <v>17281.131</v>
      </c>
      <c r="J27" s="25">
        <v>19682.116</v>
      </c>
      <c r="K27" s="25">
        <v>17370.297</v>
      </c>
      <c r="L27" s="25">
        <v>15415.781</v>
      </c>
      <c r="M27" s="25">
        <v>11077.282</v>
      </c>
    </row>
  </sheetData>
  <sheetProtection/>
  <mergeCells count="3">
    <mergeCell ref="B3:M3"/>
    <mergeCell ref="A1:M1"/>
    <mergeCell ref="A2:M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8"/>
  <sheetViews>
    <sheetView zoomScale="90" zoomScaleNormal="90" zoomScaleSheetLayoutView="100" zoomScalePageLayoutView="0" workbookViewId="0" topLeftCell="A1">
      <pane xSplit="1" ySplit="4" topLeftCell="B5" activePane="bottomRight" state="frozen"/>
      <selection pane="topLeft" activeCell="B3" sqref="B3:G3"/>
      <selection pane="topRight" activeCell="B3" sqref="B3:G3"/>
      <selection pane="bottomLeft" activeCell="B3" sqref="B3:G3"/>
      <selection pane="bottomRight" activeCell="B3" sqref="B3:G3"/>
    </sheetView>
  </sheetViews>
  <sheetFormatPr defaultColWidth="9.00390625" defaultRowHeight="12.75"/>
  <cols>
    <col min="1" max="1" width="29.00390625" style="0" customWidth="1"/>
    <col min="2" max="2" width="10.75390625" style="0" customWidth="1"/>
    <col min="3" max="3" width="9.50390625" style="0" bestFit="1" customWidth="1"/>
    <col min="4" max="4" width="10.25390625" style="0" customWidth="1"/>
    <col min="5" max="5" width="9.75390625" style="0" bestFit="1" customWidth="1"/>
    <col min="6" max="6" width="11.00390625" style="0" customWidth="1"/>
    <col min="7" max="12" width="9.75390625" style="0" bestFit="1" customWidth="1"/>
    <col min="13" max="13" width="11.75390625" style="0" customWidth="1"/>
  </cols>
  <sheetData>
    <row r="1" spans="1:13" ht="15">
      <c r="A1" s="93" t="s">
        <v>39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2.75">
      <c r="A2" s="94" t="s">
        <v>31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2">
      <c r="A3" s="2" t="s">
        <v>0</v>
      </c>
      <c r="B3" s="90">
        <v>2006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12">
      <c r="A4" s="2" t="s">
        <v>1</v>
      </c>
      <c r="B4" s="3" t="s">
        <v>2</v>
      </c>
      <c r="C4" s="3" t="s">
        <v>3</v>
      </c>
      <c r="D4" s="3" t="s">
        <v>4</v>
      </c>
      <c r="E4" s="3" t="s">
        <v>19</v>
      </c>
      <c r="F4" s="3" t="s">
        <v>18</v>
      </c>
      <c r="G4" s="19" t="s">
        <v>20</v>
      </c>
      <c r="H4" s="19" t="s">
        <v>21</v>
      </c>
      <c r="I4" s="19" t="s">
        <v>22</v>
      </c>
      <c r="J4" s="19" t="s">
        <v>23</v>
      </c>
      <c r="K4" s="19" t="s">
        <v>24</v>
      </c>
      <c r="L4" s="19" t="s">
        <v>25</v>
      </c>
      <c r="M4" s="19" t="s">
        <v>37</v>
      </c>
    </row>
    <row r="5" spans="1:13" ht="12">
      <c r="A5" s="4" t="s">
        <v>5</v>
      </c>
      <c r="B5" s="5">
        <f aca="true" t="shared" si="0" ref="B5:G5">B11+B17</f>
        <v>1295981.559</v>
      </c>
      <c r="C5" s="5">
        <f t="shared" si="0"/>
        <v>1333079.043</v>
      </c>
      <c r="D5" s="5">
        <f t="shared" si="0"/>
        <v>1356886.3760000002</v>
      </c>
      <c r="E5" s="5">
        <f t="shared" si="0"/>
        <v>1403269.52</v>
      </c>
      <c r="F5" s="5">
        <f t="shared" si="0"/>
        <v>1438414.957</v>
      </c>
      <c r="G5" s="20">
        <f t="shared" si="0"/>
        <v>1478113.362</v>
      </c>
      <c r="H5" s="20">
        <f aca="true" t="shared" si="1" ref="H5:M5">H11+H17</f>
        <v>1491352.5040000002</v>
      </c>
      <c r="I5" s="20">
        <f t="shared" si="1"/>
        <v>1530483.602</v>
      </c>
      <c r="J5" s="20">
        <f t="shared" si="1"/>
        <v>1532034.821</v>
      </c>
      <c r="K5" s="20">
        <f t="shared" si="1"/>
        <v>1559420.166</v>
      </c>
      <c r="L5" s="20">
        <f t="shared" si="1"/>
        <v>1620478.137</v>
      </c>
      <c r="M5" s="20">
        <f t="shared" si="1"/>
        <v>2393134.1890000002</v>
      </c>
    </row>
    <row r="6" spans="1:13" ht="12">
      <c r="A6" s="6" t="s">
        <v>6</v>
      </c>
      <c r="B6" s="14"/>
      <c r="C6" s="14"/>
      <c r="D6" s="14"/>
      <c r="E6" s="14"/>
      <c r="F6" s="14"/>
      <c r="G6" s="21"/>
      <c r="H6" s="21"/>
      <c r="I6" s="21"/>
      <c r="J6" s="21"/>
      <c r="K6" s="21"/>
      <c r="L6" s="21"/>
      <c r="M6" s="21"/>
    </row>
    <row r="7" spans="1:13" ht="12">
      <c r="A7" s="7" t="s">
        <v>8</v>
      </c>
      <c r="B7" s="8">
        <f aca="true" t="shared" si="2" ref="B7:G7">B13+B19</f>
        <v>1295981.559</v>
      </c>
      <c r="C7" s="8">
        <f t="shared" si="2"/>
        <v>1333079.043</v>
      </c>
      <c r="D7" s="8">
        <f t="shared" si="2"/>
        <v>1356886.3760000002</v>
      </c>
      <c r="E7" s="8">
        <f t="shared" si="2"/>
        <v>1403269.52</v>
      </c>
      <c r="F7" s="8">
        <f t="shared" si="2"/>
        <v>1438414.957</v>
      </c>
      <c r="G7" s="17">
        <f t="shared" si="2"/>
        <v>1478113.362</v>
      </c>
      <c r="H7" s="17">
        <f>H13+H19</f>
        <v>1491352.5040000002</v>
      </c>
      <c r="I7" s="17">
        <f>I13+I19</f>
        <v>1530483.602</v>
      </c>
      <c r="J7" s="17">
        <f>J13+J19</f>
        <v>1532034.821</v>
      </c>
      <c r="K7" s="17">
        <f>K9+K10</f>
        <v>1559420.166</v>
      </c>
      <c r="L7" s="17">
        <f>L9+L10</f>
        <v>1620478.1369999999</v>
      </c>
      <c r="M7" s="17">
        <f>M9+M10</f>
        <v>2393134.189</v>
      </c>
    </row>
    <row r="8" spans="1:13" ht="12">
      <c r="A8" s="9" t="s">
        <v>9</v>
      </c>
      <c r="B8" s="8"/>
      <c r="C8" s="8"/>
      <c r="D8" s="8"/>
      <c r="E8" s="8"/>
      <c r="F8" s="8"/>
      <c r="G8" s="17"/>
      <c r="H8" s="17"/>
      <c r="I8" s="17"/>
      <c r="J8" s="17"/>
      <c r="K8" s="17"/>
      <c r="L8" s="17"/>
      <c r="M8" s="17"/>
    </row>
    <row r="9" spans="1:13" ht="12">
      <c r="A9" s="9" t="s">
        <v>10</v>
      </c>
      <c r="B9" s="8">
        <v>148660.925</v>
      </c>
      <c r="C9" s="8">
        <v>148199.519</v>
      </c>
      <c r="D9" s="8">
        <v>146931.068</v>
      </c>
      <c r="E9" s="8">
        <v>145093.999</v>
      </c>
      <c r="F9" s="8">
        <v>146948.432</v>
      </c>
      <c r="G9" s="17">
        <v>151876.892</v>
      </c>
      <c r="H9" s="17">
        <v>152168.784</v>
      </c>
      <c r="I9" s="17">
        <v>152267.776</v>
      </c>
      <c r="J9" s="17">
        <v>153463.355</v>
      </c>
      <c r="K9" s="17">
        <f aca="true" t="shared" si="3" ref="K9:M10">K15+K21</f>
        <v>153217.692</v>
      </c>
      <c r="L9" s="17">
        <f t="shared" si="3"/>
        <v>154003.224</v>
      </c>
      <c r="M9" s="17">
        <f t="shared" si="3"/>
        <v>148861.687</v>
      </c>
    </row>
    <row r="10" spans="1:13" ht="12">
      <c r="A10" s="9" t="s">
        <v>11</v>
      </c>
      <c r="B10" s="8">
        <v>1147320.724</v>
      </c>
      <c r="C10" s="8">
        <v>1184879.524</v>
      </c>
      <c r="D10" s="8">
        <v>1209955.308</v>
      </c>
      <c r="E10" s="8">
        <v>1258175.521</v>
      </c>
      <c r="F10" s="8">
        <v>1291466.525</v>
      </c>
      <c r="G10" s="17">
        <v>1326236.47</v>
      </c>
      <c r="H10" s="17">
        <v>1339183.72</v>
      </c>
      <c r="I10" s="17">
        <v>1378215.826</v>
      </c>
      <c r="J10" s="17">
        <v>1378571.466</v>
      </c>
      <c r="K10" s="17">
        <f t="shared" si="3"/>
        <v>1406202.474</v>
      </c>
      <c r="L10" s="17">
        <f t="shared" si="3"/>
        <v>1466474.913</v>
      </c>
      <c r="M10" s="17">
        <f t="shared" si="3"/>
        <v>2244272.502</v>
      </c>
    </row>
    <row r="11" spans="1:13" ht="22.5">
      <c r="A11" s="18" t="s">
        <v>12</v>
      </c>
      <c r="B11" s="5">
        <f aca="true" t="shared" si="4" ref="B11:G11">B15+B16</f>
        <v>514275.566</v>
      </c>
      <c r="C11" s="5">
        <f t="shared" si="4"/>
        <v>534069.8470000001</v>
      </c>
      <c r="D11" s="5">
        <f t="shared" si="4"/>
        <v>548173.091</v>
      </c>
      <c r="E11" s="5">
        <f t="shared" si="4"/>
        <v>563821.988</v>
      </c>
      <c r="F11" s="5">
        <f t="shared" si="4"/>
        <v>582610.151</v>
      </c>
      <c r="G11" s="20">
        <f t="shared" si="4"/>
        <v>559892.858</v>
      </c>
      <c r="H11" s="20">
        <f aca="true" t="shared" si="5" ref="H11:M11">H15+H16</f>
        <v>544656.209</v>
      </c>
      <c r="I11" s="20">
        <f t="shared" si="5"/>
        <v>574795.2440000001</v>
      </c>
      <c r="J11" s="20">
        <f t="shared" si="5"/>
        <v>561908.628</v>
      </c>
      <c r="K11" s="20">
        <f t="shared" si="5"/>
        <v>568986.466</v>
      </c>
      <c r="L11" s="20">
        <f t="shared" si="5"/>
        <v>571010.864</v>
      </c>
      <c r="M11" s="20">
        <f t="shared" si="5"/>
        <v>585947.8659999999</v>
      </c>
    </row>
    <row r="12" spans="1:13" ht="12">
      <c r="A12" s="10" t="s">
        <v>6</v>
      </c>
      <c r="B12" s="14"/>
      <c r="C12" s="14"/>
      <c r="D12" s="14"/>
      <c r="E12" s="14"/>
      <c r="F12" s="14"/>
      <c r="G12" s="21"/>
      <c r="H12" s="21"/>
      <c r="I12" s="21"/>
      <c r="J12" s="21"/>
      <c r="K12" s="21"/>
      <c r="L12" s="21"/>
      <c r="M12" s="21"/>
    </row>
    <row r="13" spans="1:13" ht="12">
      <c r="A13" s="7" t="s">
        <v>8</v>
      </c>
      <c r="B13" s="8">
        <f aca="true" t="shared" si="6" ref="B13:G13">B15+B16</f>
        <v>514275.566</v>
      </c>
      <c r="C13" s="8">
        <f t="shared" si="6"/>
        <v>534069.8470000001</v>
      </c>
      <c r="D13" s="8">
        <f t="shared" si="6"/>
        <v>548173.091</v>
      </c>
      <c r="E13" s="8">
        <f t="shared" si="6"/>
        <v>563821.988</v>
      </c>
      <c r="F13" s="8">
        <f t="shared" si="6"/>
        <v>582610.151</v>
      </c>
      <c r="G13" s="17">
        <f t="shared" si="6"/>
        <v>559892.858</v>
      </c>
      <c r="H13" s="17">
        <f aca="true" t="shared" si="7" ref="H13:M13">H15+H16</f>
        <v>544656.209</v>
      </c>
      <c r="I13" s="17">
        <f t="shared" si="7"/>
        <v>574795.2440000001</v>
      </c>
      <c r="J13" s="17">
        <f t="shared" si="7"/>
        <v>561908.628</v>
      </c>
      <c r="K13" s="17">
        <f t="shared" si="7"/>
        <v>568986.466</v>
      </c>
      <c r="L13" s="17">
        <f t="shared" si="7"/>
        <v>571010.864</v>
      </c>
      <c r="M13" s="17">
        <f t="shared" si="7"/>
        <v>585947.8659999999</v>
      </c>
    </row>
    <row r="14" spans="1:13" ht="12">
      <c r="A14" s="9" t="s">
        <v>13</v>
      </c>
      <c r="B14" s="8"/>
      <c r="C14" s="8"/>
      <c r="D14" s="8"/>
      <c r="E14" s="8"/>
      <c r="F14" s="8"/>
      <c r="G14" s="17"/>
      <c r="H14" s="17"/>
      <c r="I14" s="17"/>
      <c r="J14" s="17"/>
      <c r="K14" s="17"/>
      <c r="L14" s="17"/>
      <c r="M14" s="17"/>
    </row>
    <row r="15" spans="1:13" ht="12">
      <c r="A15" s="9" t="s">
        <v>10</v>
      </c>
      <c r="B15" s="8">
        <v>119551.05</v>
      </c>
      <c r="C15" s="8">
        <v>119053.306</v>
      </c>
      <c r="D15" s="8">
        <v>117779.295</v>
      </c>
      <c r="E15" s="8">
        <v>115938.333</v>
      </c>
      <c r="F15" s="8">
        <v>117721.069</v>
      </c>
      <c r="G15" s="17">
        <v>117381.434</v>
      </c>
      <c r="H15" s="17">
        <v>117674.195</v>
      </c>
      <c r="I15" s="17">
        <v>124859.371</v>
      </c>
      <c r="J15" s="17">
        <v>118972.193</v>
      </c>
      <c r="K15" s="17">
        <v>118728.388</v>
      </c>
      <c r="L15" s="17">
        <v>119519.199</v>
      </c>
      <c r="M15" s="17">
        <v>114381.364</v>
      </c>
    </row>
    <row r="16" spans="1:13" ht="12">
      <c r="A16" s="9" t="s">
        <v>11</v>
      </c>
      <c r="B16" s="8">
        <v>394724.516</v>
      </c>
      <c r="C16" s="8">
        <v>415016.541</v>
      </c>
      <c r="D16" s="8">
        <v>430393.796</v>
      </c>
      <c r="E16" s="8">
        <v>447883.655</v>
      </c>
      <c r="F16" s="8">
        <v>464889.082</v>
      </c>
      <c r="G16" s="17">
        <v>442511.424</v>
      </c>
      <c r="H16" s="17">
        <v>426982.014</v>
      </c>
      <c r="I16" s="17">
        <v>449935.873</v>
      </c>
      <c r="J16" s="17">
        <v>442936.435</v>
      </c>
      <c r="K16" s="17">
        <v>450258.078</v>
      </c>
      <c r="L16" s="17">
        <v>451491.665</v>
      </c>
      <c r="M16" s="17">
        <f>401405+70161.502</f>
        <v>471566.502</v>
      </c>
    </row>
    <row r="17" spans="1:13" ht="22.5">
      <c r="A17" s="18" t="s">
        <v>14</v>
      </c>
      <c r="B17" s="5">
        <f aca="true" t="shared" si="8" ref="B17:G17">B21+B22</f>
        <v>781705.993</v>
      </c>
      <c r="C17" s="5">
        <f t="shared" si="8"/>
        <v>799009.196</v>
      </c>
      <c r="D17" s="5">
        <f t="shared" si="8"/>
        <v>808713.285</v>
      </c>
      <c r="E17" s="5">
        <f t="shared" si="8"/>
        <v>839447.532</v>
      </c>
      <c r="F17" s="5">
        <f t="shared" si="8"/>
        <v>855804.806</v>
      </c>
      <c r="G17" s="20">
        <f t="shared" si="8"/>
        <v>918220.504</v>
      </c>
      <c r="H17" s="20">
        <f aca="true" t="shared" si="9" ref="H17:M17">H21+H22</f>
        <v>946696.295</v>
      </c>
      <c r="I17" s="20">
        <f t="shared" si="9"/>
        <v>955688.358</v>
      </c>
      <c r="J17" s="20">
        <f t="shared" si="9"/>
        <v>970126.193</v>
      </c>
      <c r="K17" s="20">
        <f t="shared" si="9"/>
        <v>990433.7</v>
      </c>
      <c r="L17" s="20">
        <f t="shared" si="9"/>
        <v>1049467.273</v>
      </c>
      <c r="M17" s="20">
        <f t="shared" si="9"/>
        <v>1807186.323</v>
      </c>
    </row>
    <row r="18" spans="1:13" ht="12">
      <c r="A18" s="6" t="s">
        <v>6</v>
      </c>
      <c r="B18" s="8"/>
      <c r="C18" s="8"/>
      <c r="D18" s="8"/>
      <c r="E18" s="8"/>
      <c r="F18" s="8"/>
      <c r="G18" s="17"/>
      <c r="H18" s="17"/>
      <c r="I18" s="17"/>
      <c r="J18" s="17"/>
      <c r="K18" s="17"/>
      <c r="L18" s="17"/>
      <c r="M18" s="17"/>
    </row>
    <row r="19" spans="1:13" ht="12">
      <c r="A19" s="7" t="s">
        <v>8</v>
      </c>
      <c r="B19" s="8">
        <f aca="true" t="shared" si="10" ref="B19:G19">B21+B22</f>
        <v>781705.993</v>
      </c>
      <c r="C19" s="8">
        <f t="shared" si="10"/>
        <v>799009.196</v>
      </c>
      <c r="D19" s="8">
        <f t="shared" si="10"/>
        <v>808713.285</v>
      </c>
      <c r="E19" s="8">
        <f t="shared" si="10"/>
        <v>839447.532</v>
      </c>
      <c r="F19" s="8">
        <f t="shared" si="10"/>
        <v>855804.806</v>
      </c>
      <c r="G19" s="17">
        <f t="shared" si="10"/>
        <v>918220.504</v>
      </c>
      <c r="H19" s="17">
        <f aca="true" t="shared" si="11" ref="H19:M19">H21+H22</f>
        <v>946696.295</v>
      </c>
      <c r="I19" s="17">
        <f t="shared" si="11"/>
        <v>955688.358</v>
      </c>
      <c r="J19" s="17">
        <f t="shared" si="11"/>
        <v>970126.193</v>
      </c>
      <c r="K19" s="17">
        <f t="shared" si="11"/>
        <v>990433.7</v>
      </c>
      <c r="L19" s="17">
        <f t="shared" si="11"/>
        <v>1049467.273</v>
      </c>
      <c r="M19" s="17">
        <f t="shared" si="11"/>
        <v>1807186.323</v>
      </c>
    </row>
    <row r="20" spans="1:13" ht="12">
      <c r="A20" s="9" t="s">
        <v>13</v>
      </c>
      <c r="B20" s="8"/>
      <c r="C20" s="8"/>
      <c r="D20" s="8"/>
      <c r="E20" s="8"/>
      <c r="F20" s="8"/>
      <c r="G20" s="17"/>
      <c r="H20" s="17"/>
      <c r="I20" s="17"/>
      <c r="J20" s="17"/>
      <c r="K20" s="17"/>
      <c r="L20" s="17"/>
      <c r="M20" s="17"/>
    </row>
    <row r="21" spans="1:13" ht="12">
      <c r="A21" s="9" t="s">
        <v>10</v>
      </c>
      <c r="B21" s="16">
        <v>29109.785</v>
      </c>
      <c r="C21" s="16">
        <v>29146.213</v>
      </c>
      <c r="D21" s="16">
        <v>29151.773</v>
      </c>
      <c r="E21" s="16">
        <v>29155.666</v>
      </c>
      <c r="F21" s="16">
        <v>29227.363</v>
      </c>
      <c r="G21" s="22">
        <v>34495.458</v>
      </c>
      <c r="H21" s="22">
        <v>34494.589</v>
      </c>
      <c r="I21" s="22">
        <v>27408.405</v>
      </c>
      <c r="J21" s="22">
        <v>34491.162</v>
      </c>
      <c r="K21" s="22">
        <v>34489.304</v>
      </c>
      <c r="L21" s="22">
        <v>34484.025</v>
      </c>
      <c r="M21" s="22">
        <v>34480.323</v>
      </c>
    </row>
    <row r="22" spans="1:13" ht="12">
      <c r="A22" s="9" t="s">
        <v>11</v>
      </c>
      <c r="B22" s="8">
        <v>752596.208</v>
      </c>
      <c r="C22" s="8">
        <v>769862.983</v>
      </c>
      <c r="D22" s="8">
        <v>779561.512</v>
      </c>
      <c r="E22" s="8">
        <v>810291.866</v>
      </c>
      <c r="F22" s="8">
        <v>826577.443</v>
      </c>
      <c r="G22" s="17">
        <v>883725.046</v>
      </c>
      <c r="H22" s="17">
        <v>912201.706</v>
      </c>
      <c r="I22" s="17">
        <v>928279.953</v>
      </c>
      <c r="J22" s="17">
        <v>935635.031</v>
      </c>
      <c r="K22" s="17">
        <v>955944.396</v>
      </c>
      <c r="L22" s="17">
        <v>1014983.248</v>
      </c>
      <c r="M22" s="17">
        <v>1772706</v>
      </c>
    </row>
    <row r="23" spans="1:13" ht="12">
      <c r="A23" s="26" t="s">
        <v>15</v>
      </c>
      <c r="B23" s="13"/>
      <c r="C23" s="13"/>
      <c r="D23" s="13"/>
      <c r="E23" s="13"/>
      <c r="F23" s="13"/>
      <c r="G23" s="23"/>
      <c r="H23" s="23"/>
      <c r="I23" s="23"/>
      <c r="J23" s="23"/>
      <c r="K23" s="23"/>
      <c r="L23" s="23"/>
      <c r="M23" s="23"/>
    </row>
    <row r="24" spans="1:13" ht="22.5">
      <c r="A24" s="4" t="s">
        <v>35</v>
      </c>
      <c r="B24" s="1">
        <f aca="true" t="shared" si="12" ref="B24:G24">B26+B27</f>
        <v>41210.819</v>
      </c>
      <c r="C24" s="1">
        <f t="shared" si="12"/>
        <v>43806.687</v>
      </c>
      <c r="D24" s="1">
        <f t="shared" si="12"/>
        <v>43548.212</v>
      </c>
      <c r="E24" s="1">
        <f t="shared" si="12"/>
        <v>40227.088</v>
      </c>
      <c r="F24" s="1">
        <f t="shared" si="12"/>
        <v>42698.47900000001</v>
      </c>
      <c r="G24" s="20">
        <f t="shared" si="12"/>
        <v>44921.193</v>
      </c>
      <c r="H24" s="20">
        <f aca="true" t="shared" si="13" ref="H24:M24">H26+H27</f>
        <v>45303.845</v>
      </c>
      <c r="I24" s="20">
        <f t="shared" si="13"/>
        <v>47927.727</v>
      </c>
      <c r="J24" s="20">
        <f t="shared" si="13"/>
        <v>50439.71400000001</v>
      </c>
      <c r="K24" s="20">
        <f t="shared" si="13"/>
        <v>49887.991</v>
      </c>
      <c r="L24" s="20">
        <f t="shared" si="13"/>
        <v>52056.388</v>
      </c>
      <c r="M24" s="20">
        <f t="shared" si="13"/>
        <v>26149.944</v>
      </c>
    </row>
    <row r="25" spans="1:13" ht="12">
      <c r="A25" s="11" t="s">
        <v>6</v>
      </c>
      <c r="B25" s="8"/>
      <c r="C25" s="8"/>
      <c r="D25" s="8"/>
      <c r="E25" s="8"/>
      <c r="F25" s="8"/>
      <c r="G25" s="17"/>
      <c r="H25" s="17"/>
      <c r="I25" s="17"/>
      <c r="J25" s="17"/>
      <c r="K25" s="17"/>
      <c r="L25" s="17"/>
      <c r="M25" s="17"/>
    </row>
    <row r="26" spans="1:13" ht="22.5">
      <c r="A26" s="12" t="s">
        <v>17</v>
      </c>
      <c r="B26" s="15">
        <v>23502.93</v>
      </c>
      <c r="C26" s="15">
        <v>24019.712</v>
      </c>
      <c r="D26" s="15">
        <v>25100.912</v>
      </c>
      <c r="E26" s="15">
        <v>25330.376</v>
      </c>
      <c r="F26" s="15">
        <v>25556.276</v>
      </c>
      <c r="G26" s="25">
        <v>24896.716</v>
      </c>
      <c r="H26" s="25">
        <v>26789.781</v>
      </c>
      <c r="I26" s="25">
        <v>28812.074</v>
      </c>
      <c r="J26" s="25">
        <v>27210.473</v>
      </c>
      <c r="K26" s="25">
        <v>25697.97</v>
      </c>
      <c r="L26" s="25">
        <v>25163.717</v>
      </c>
      <c r="M26" s="25">
        <v>14358.32</v>
      </c>
    </row>
    <row r="27" spans="1:13" ht="12">
      <c r="A27" s="12" t="s">
        <v>28</v>
      </c>
      <c r="B27" s="15">
        <v>17707.889</v>
      </c>
      <c r="C27" s="15">
        <v>19786.975</v>
      </c>
      <c r="D27" s="15">
        <v>18447.3</v>
      </c>
      <c r="E27" s="15">
        <v>14896.712</v>
      </c>
      <c r="F27" s="15">
        <v>17142.203</v>
      </c>
      <c r="G27" s="25">
        <v>20024.477</v>
      </c>
      <c r="H27" s="25">
        <v>18514.064</v>
      </c>
      <c r="I27" s="25">
        <v>19115.653</v>
      </c>
      <c r="J27" s="25">
        <v>23229.241</v>
      </c>
      <c r="K27" s="25">
        <v>24190.021</v>
      </c>
      <c r="L27" s="25">
        <v>26892.671</v>
      </c>
      <c r="M27" s="25">
        <v>11791.624</v>
      </c>
    </row>
    <row r="28" ht="12">
      <c r="A28" t="s">
        <v>38</v>
      </c>
    </row>
  </sheetData>
  <sheetProtection/>
  <mergeCells count="3">
    <mergeCell ref="B3:M3"/>
    <mergeCell ref="A1:M1"/>
    <mergeCell ref="A2:M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A17" sqref="A17"/>
    </sheetView>
  </sheetViews>
  <sheetFormatPr defaultColWidth="9.25390625" defaultRowHeight="12.75"/>
  <cols>
    <col min="1" max="1" width="40.50390625" style="48" customWidth="1"/>
    <col min="2" max="2" width="12.50390625" style="48" customWidth="1"/>
    <col min="3" max="3" width="10.25390625" style="48" customWidth="1"/>
    <col min="4" max="4" width="12.00390625" style="48" customWidth="1"/>
    <col min="5" max="5" width="9.75390625" style="48" customWidth="1"/>
    <col min="6" max="6" width="9.50390625" style="48" customWidth="1"/>
    <col min="7" max="7" width="9.75390625" style="48" customWidth="1"/>
    <col min="8" max="8" width="11.50390625" style="48" customWidth="1"/>
    <col min="9" max="10" width="9.50390625" style="48" customWidth="1"/>
    <col min="11" max="12" width="9.75390625" style="48" customWidth="1"/>
    <col min="13" max="13" width="10.25390625" style="48" customWidth="1"/>
    <col min="14" max="14" width="12.25390625" style="48" bestFit="1" customWidth="1"/>
    <col min="15" max="15" width="16.50390625" style="48" customWidth="1"/>
    <col min="16" max="16384" width="9.25390625" style="48" customWidth="1"/>
  </cols>
  <sheetData>
    <row r="1" spans="2:4" ht="13.5" customHeight="1">
      <c r="B1" s="53"/>
      <c r="C1" s="53"/>
      <c r="D1" s="53"/>
    </row>
    <row r="2" spans="1:13" ht="61.5" customHeight="1">
      <c r="A2" s="58" t="s">
        <v>33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7:13" ht="18" customHeight="1">
      <c r="G3" s="54"/>
      <c r="H3" s="54"/>
      <c r="L3" s="59" t="s">
        <v>55</v>
      </c>
      <c r="M3" s="59"/>
    </row>
    <row r="4" spans="1:13" ht="18" customHeight="1">
      <c r="A4" s="44" t="s">
        <v>0</v>
      </c>
      <c r="B4" s="60">
        <v>2023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15">
      <c r="A5" s="44" t="s">
        <v>1</v>
      </c>
      <c r="B5" s="50" t="s">
        <v>64</v>
      </c>
      <c r="C5" s="50" t="s">
        <v>65</v>
      </c>
      <c r="D5" s="50" t="s">
        <v>66</v>
      </c>
      <c r="E5" s="50" t="s">
        <v>67</v>
      </c>
      <c r="F5" s="50" t="s">
        <v>44</v>
      </c>
      <c r="G5" s="50" t="s">
        <v>45</v>
      </c>
      <c r="H5" s="50" t="s">
        <v>46</v>
      </c>
      <c r="I5" s="50" t="s">
        <v>59</v>
      </c>
      <c r="J5" s="50" t="s">
        <v>60</v>
      </c>
      <c r="K5" s="51" t="s">
        <v>61</v>
      </c>
      <c r="L5" s="50" t="s">
        <v>62</v>
      </c>
      <c r="M5" s="50" t="s">
        <v>63</v>
      </c>
    </row>
    <row r="6" spans="1:13" ht="15">
      <c r="A6" s="40" t="s">
        <v>5</v>
      </c>
      <c r="B6" s="35">
        <v>13902647.65429279</v>
      </c>
      <c r="C6" s="35">
        <v>14521181.607761929</v>
      </c>
      <c r="D6" s="35">
        <v>14834363.499609709</v>
      </c>
      <c r="E6" s="35">
        <f>E10+E14</f>
        <v>15446371.48866521</v>
      </c>
      <c r="F6" s="35">
        <f>F10+F14</f>
        <v>15904462.720073383</v>
      </c>
      <c r="G6" s="35">
        <v>16224991.48681396</v>
      </c>
      <c r="H6" s="35">
        <v>16558608.373312585</v>
      </c>
      <c r="I6" s="35">
        <v>16621233.85311025</v>
      </c>
      <c r="J6" s="35">
        <v>16865573.28737208</v>
      </c>
      <c r="K6" s="35">
        <v>17015713.49347335</v>
      </c>
      <c r="L6" s="35">
        <v>17264678.63417623</v>
      </c>
      <c r="M6" s="27">
        <f>M10+M14</f>
        <v>17921089.52932973</v>
      </c>
    </row>
    <row r="7" spans="1:15" ht="15">
      <c r="A7" s="45" t="s">
        <v>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28"/>
      <c r="O7" s="55"/>
    </row>
    <row r="8" spans="1:13" ht="15">
      <c r="A8" s="46" t="s">
        <v>10</v>
      </c>
      <c r="B8" s="38">
        <v>79335.75016000001</v>
      </c>
      <c r="C8" s="38">
        <v>79269.62577000001</v>
      </c>
      <c r="D8" s="38">
        <v>79193.11372000001</v>
      </c>
      <c r="E8" s="38">
        <f>E12+E16</f>
        <v>79132.71931</v>
      </c>
      <c r="F8" s="38">
        <f>F12+F16</f>
        <v>79056.81024</v>
      </c>
      <c r="G8" s="38">
        <v>78968.55592</v>
      </c>
      <c r="H8" s="38">
        <v>78885.19643000001</v>
      </c>
      <c r="I8" s="38">
        <v>78817.19481</v>
      </c>
      <c r="J8" s="38">
        <v>78752.29981</v>
      </c>
      <c r="K8" s="38">
        <v>78649.75265000001</v>
      </c>
      <c r="L8" s="38">
        <v>78517.91028</v>
      </c>
      <c r="M8" s="29">
        <f>M12+M16</f>
        <v>78445.73668</v>
      </c>
    </row>
    <row r="9" spans="1:15" ht="15">
      <c r="A9" s="46" t="s">
        <v>68</v>
      </c>
      <c r="B9" s="38">
        <v>13823311.90413279</v>
      </c>
      <c r="C9" s="38">
        <v>14441911.981991928</v>
      </c>
      <c r="D9" s="38">
        <v>14755170.385889709</v>
      </c>
      <c r="E9" s="38">
        <f>E13+E17</f>
        <v>15367238.76935521</v>
      </c>
      <c r="F9" s="38">
        <f>F13+F17</f>
        <v>15825405.909833383</v>
      </c>
      <c r="G9" s="38">
        <v>16146022.930893961</v>
      </c>
      <c r="H9" s="38">
        <v>16479723.176882587</v>
      </c>
      <c r="I9" s="38">
        <v>16542416.65830025</v>
      </c>
      <c r="J9" s="38">
        <v>16786820.98756208</v>
      </c>
      <c r="K9" s="38">
        <v>16937063.74082335</v>
      </c>
      <c r="L9" s="38">
        <v>17186160.723896228</v>
      </c>
      <c r="M9" s="29">
        <f>M13+M17</f>
        <v>17842643.79264973</v>
      </c>
      <c r="O9" s="56"/>
    </row>
    <row r="10" spans="1:13" ht="15">
      <c r="A10" s="40" t="s">
        <v>12</v>
      </c>
      <c r="B10" s="35">
        <v>10046043.2116035</v>
      </c>
      <c r="C10" s="35">
        <v>10330657.9489</v>
      </c>
      <c r="D10" s="35">
        <v>10612155.51366</v>
      </c>
      <c r="E10" s="35">
        <f>E12+E13</f>
        <v>10869618.60939</v>
      </c>
      <c r="F10" s="35">
        <f>F12+F13</f>
        <v>10947640.448880002</v>
      </c>
      <c r="G10" s="35">
        <v>11314186.08857</v>
      </c>
      <c r="H10" s="35">
        <v>11526649.843580006</v>
      </c>
      <c r="I10" s="35">
        <v>11541762.079719998</v>
      </c>
      <c r="J10" s="35">
        <v>11583062.607599998</v>
      </c>
      <c r="K10" s="35">
        <v>11613858.094810002</v>
      </c>
      <c r="L10" s="35">
        <v>11809144.885260003</v>
      </c>
      <c r="M10" s="27">
        <f>M12+M13</f>
        <v>12084030.77066</v>
      </c>
    </row>
    <row r="11" spans="1:13" ht="15">
      <c r="A11" s="47" t="s">
        <v>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28"/>
    </row>
    <row r="12" spans="1:13" ht="15">
      <c r="A12" s="46" t="s">
        <v>10</v>
      </c>
      <c r="B12" s="38">
        <v>79335.75016000001</v>
      </c>
      <c r="C12" s="38">
        <v>79269.62577000001</v>
      </c>
      <c r="D12" s="38">
        <v>79193.11372000001</v>
      </c>
      <c r="E12" s="38">
        <v>79132.71931</v>
      </c>
      <c r="F12" s="38">
        <v>79056.81024</v>
      </c>
      <c r="G12" s="38">
        <v>78968.55592</v>
      </c>
      <c r="H12" s="38">
        <v>78885.19643000001</v>
      </c>
      <c r="I12" s="38">
        <v>78817.19481</v>
      </c>
      <c r="J12" s="38">
        <v>78752.29981</v>
      </c>
      <c r="K12" s="38">
        <v>78649.75265000001</v>
      </c>
      <c r="L12" s="38">
        <v>78517.91028</v>
      </c>
      <c r="M12" s="29">
        <v>78445.73668</v>
      </c>
    </row>
    <row r="13" spans="1:14" ht="15">
      <c r="A13" s="46" t="s">
        <v>68</v>
      </c>
      <c r="B13" s="38">
        <v>9966707.4614435</v>
      </c>
      <c r="C13" s="38">
        <v>10251388.323129999</v>
      </c>
      <c r="D13" s="38">
        <v>10532962.39994</v>
      </c>
      <c r="E13" s="38">
        <v>10790485.89008</v>
      </c>
      <c r="F13" s="38">
        <v>10868583.638640001</v>
      </c>
      <c r="G13" s="38">
        <v>11235217.532650001</v>
      </c>
      <c r="H13" s="38">
        <v>11447764.647150006</v>
      </c>
      <c r="I13" s="38">
        <v>11462944.884909999</v>
      </c>
      <c r="J13" s="38">
        <v>11504310.307789998</v>
      </c>
      <c r="K13" s="38">
        <v>11535208.342160001</v>
      </c>
      <c r="L13" s="38">
        <v>11730626.974980002</v>
      </c>
      <c r="M13" s="29">
        <v>12005585.03398</v>
      </c>
      <c r="N13" s="55"/>
    </row>
    <row r="14" spans="1:13" ht="15">
      <c r="A14" s="40" t="s">
        <v>14</v>
      </c>
      <c r="B14" s="35">
        <v>3856604.4426892903</v>
      </c>
      <c r="C14" s="35">
        <v>4190523.6588619296</v>
      </c>
      <c r="D14" s="35">
        <v>4222207.985949709</v>
      </c>
      <c r="E14" s="35">
        <f>E16+E17</f>
        <v>4576752.87927521</v>
      </c>
      <c r="F14" s="35">
        <f>F16+F17</f>
        <v>4956822.2711933805</v>
      </c>
      <c r="G14" s="35">
        <v>4910805.39824396</v>
      </c>
      <c r="H14" s="35">
        <v>5031958.52973258</v>
      </c>
      <c r="I14" s="35">
        <v>5079471.773390251</v>
      </c>
      <c r="J14" s="35">
        <v>5282510.67977208</v>
      </c>
      <c r="K14" s="35">
        <v>5401855.398663349</v>
      </c>
      <c r="L14" s="35">
        <v>5455533.748916225</v>
      </c>
      <c r="M14" s="27">
        <f>M16+M17</f>
        <v>5837058.758669728</v>
      </c>
    </row>
    <row r="15" spans="1:13" ht="15">
      <c r="A15" s="45" t="s">
        <v>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29"/>
    </row>
    <row r="16" spans="1:13" ht="15">
      <c r="A16" s="46" t="s">
        <v>10</v>
      </c>
      <c r="B16" s="42">
        <v>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30">
        <v>0</v>
      </c>
    </row>
    <row r="17" spans="1:13" ht="15">
      <c r="A17" s="46" t="s">
        <v>68</v>
      </c>
      <c r="B17" s="38">
        <v>3856604.4426892903</v>
      </c>
      <c r="C17" s="38">
        <v>4190523.6588619296</v>
      </c>
      <c r="D17" s="38">
        <v>4222207.985949709</v>
      </c>
      <c r="E17" s="38">
        <f>4672542.87927521-95790</f>
        <v>4576752.87927521</v>
      </c>
      <c r="F17" s="38">
        <v>4956822.2711933805</v>
      </c>
      <c r="G17" s="38">
        <v>4910805.39824396</v>
      </c>
      <c r="H17" s="38">
        <v>5031958.52973258</v>
      </c>
      <c r="I17" s="38">
        <v>5079471.773390251</v>
      </c>
      <c r="J17" s="38">
        <v>5282510.67977208</v>
      </c>
      <c r="K17" s="38">
        <v>5401855.398663349</v>
      </c>
      <c r="L17" s="38">
        <v>5455533.748916225</v>
      </c>
      <c r="M17" s="29">
        <v>5837058.758669728</v>
      </c>
    </row>
    <row r="19" spans="3:12" ht="15">
      <c r="C19" s="55"/>
      <c r="D19" s="55"/>
      <c r="E19" s="55"/>
      <c r="F19" s="55"/>
      <c r="G19" s="55"/>
      <c r="H19" s="55"/>
      <c r="J19" s="55"/>
      <c r="L19" s="55"/>
    </row>
    <row r="20" spans="2:12" ht="15">
      <c r="B20" s="57"/>
      <c r="C20" s="55"/>
      <c r="D20" s="55"/>
      <c r="G20" s="55"/>
      <c r="H20" s="55"/>
      <c r="J20" s="55"/>
      <c r="L20" s="55"/>
    </row>
    <row r="21" spans="2:12" ht="15">
      <c r="B21" s="55"/>
      <c r="C21" s="55"/>
      <c r="D21" s="55"/>
      <c r="E21" s="55"/>
      <c r="F21" s="55"/>
      <c r="H21" s="55"/>
      <c r="J21" s="55"/>
      <c r="L21" s="55"/>
    </row>
    <row r="22" spans="8:13" ht="15">
      <c r="H22" s="55"/>
      <c r="I22" s="55"/>
      <c r="J22" s="55"/>
      <c r="L22" s="55"/>
      <c r="M22" s="55"/>
    </row>
  </sheetData>
  <sheetProtection/>
  <mergeCells count="3">
    <mergeCell ref="A2:M2"/>
    <mergeCell ref="L3:M3"/>
    <mergeCell ref="B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7"/>
  <sheetViews>
    <sheetView zoomScale="90" zoomScaleNormal="90" zoomScaleSheetLayoutView="100" zoomScalePageLayoutView="0" workbookViewId="0" topLeftCell="A1">
      <pane xSplit="1" ySplit="4" topLeftCell="B5" activePane="bottomRight" state="frozen"/>
      <selection pane="topLeft" activeCell="B3" sqref="B3:G3"/>
      <selection pane="topRight" activeCell="B3" sqref="B3:G3"/>
      <selection pane="bottomLeft" activeCell="B3" sqref="B3:G3"/>
      <selection pane="bottomRight" activeCell="B3" sqref="B3:G3"/>
    </sheetView>
  </sheetViews>
  <sheetFormatPr defaultColWidth="9.00390625" defaultRowHeight="12.75"/>
  <cols>
    <col min="1" max="1" width="29.00390625" style="0" customWidth="1"/>
    <col min="2" max="2" width="10.75390625" style="0" customWidth="1"/>
    <col min="3" max="3" width="9.50390625" style="0" bestFit="1" customWidth="1"/>
    <col min="4" max="4" width="10.25390625" style="0" customWidth="1"/>
    <col min="5" max="5" width="9.75390625" style="0" bestFit="1" customWidth="1"/>
    <col min="6" max="6" width="11.00390625" style="0" customWidth="1"/>
    <col min="7" max="12" width="9.75390625" style="0" bestFit="1" customWidth="1"/>
    <col min="13" max="13" width="11.75390625" style="0" customWidth="1"/>
  </cols>
  <sheetData>
    <row r="1" spans="1:13" ht="15">
      <c r="A1" s="93" t="s">
        <v>33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2.75">
      <c r="A2" s="94" t="s">
        <v>31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2">
      <c r="A3" s="2" t="s">
        <v>0</v>
      </c>
      <c r="B3" s="90">
        <v>2005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12">
      <c r="A4" s="2" t="s">
        <v>1</v>
      </c>
      <c r="B4" s="3" t="s">
        <v>2</v>
      </c>
      <c r="C4" s="3" t="s">
        <v>3</v>
      </c>
      <c r="D4" s="3" t="s">
        <v>30</v>
      </c>
      <c r="E4" s="3" t="s">
        <v>19</v>
      </c>
      <c r="F4" s="3" t="s">
        <v>18</v>
      </c>
      <c r="G4" s="19" t="s">
        <v>20</v>
      </c>
      <c r="H4" s="19" t="s">
        <v>21</v>
      </c>
      <c r="I4" s="19" t="s">
        <v>22</v>
      </c>
      <c r="J4" s="19" t="s">
        <v>23</v>
      </c>
      <c r="K4" s="19" t="s">
        <v>24</v>
      </c>
      <c r="L4" s="19" t="s">
        <v>25</v>
      </c>
      <c r="M4" s="19" t="s">
        <v>26</v>
      </c>
    </row>
    <row r="5" spans="1:13" ht="12">
      <c r="A5" s="4" t="s">
        <v>5</v>
      </c>
      <c r="B5" s="5">
        <v>1107654.865</v>
      </c>
      <c r="C5" s="5">
        <v>1118843.3530000001</v>
      </c>
      <c r="D5" s="5">
        <v>1123183</v>
      </c>
      <c r="E5" s="5">
        <v>1142378.535</v>
      </c>
      <c r="F5" s="5">
        <v>1169834</v>
      </c>
      <c r="G5" s="20">
        <v>1176177</v>
      </c>
      <c r="H5" s="20">
        <v>1193540.7850000001</v>
      </c>
      <c r="I5" s="20">
        <v>1223669</v>
      </c>
      <c r="J5" s="20">
        <v>1236235</v>
      </c>
      <c r="K5" s="20">
        <v>1251284</v>
      </c>
      <c r="L5" s="20">
        <f>L11+L17</f>
        <v>1285372.048</v>
      </c>
      <c r="M5" s="20">
        <f>M11+M17</f>
        <v>1286289.574</v>
      </c>
    </row>
    <row r="6" spans="1:13" ht="12">
      <c r="A6" s="6" t="s">
        <v>6</v>
      </c>
      <c r="B6" s="14"/>
      <c r="C6" s="14"/>
      <c r="D6" s="14"/>
      <c r="E6" s="14"/>
      <c r="F6" s="14"/>
      <c r="G6" s="21"/>
      <c r="H6" s="21"/>
      <c r="I6" s="21"/>
      <c r="J6" s="21"/>
      <c r="K6" s="21"/>
      <c r="L6" s="21"/>
      <c r="M6" s="21"/>
    </row>
    <row r="7" spans="1:13" ht="12">
      <c r="A7" s="7" t="s">
        <v>8</v>
      </c>
      <c r="B7" s="8">
        <v>1107654.865</v>
      </c>
      <c r="C7" s="8">
        <v>1118843.3530000001</v>
      </c>
      <c r="D7" s="8">
        <v>1123183</v>
      </c>
      <c r="E7" s="8">
        <v>1142378.535</v>
      </c>
      <c r="F7" s="8">
        <v>1169834</v>
      </c>
      <c r="G7" s="17">
        <v>1176177</v>
      </c>
      <c r="H7" s="17">
        <v>1193540.7850000001</v>
      </c>
      <c r="I7" s="17">
        <v>1223669</v>
      </c>
      <c r="J7" s="17">
        <v>1236235</v>
      </c>
      <c r="K7" s="17">
        <v>1251284</v>
      </c>
      <c r="L7" s="17">
        <f>L13+L19</f>
        <v>1285372.048</v>
      </c>
      <c r="M7" s="17">
        <f>M13+M19</f>
        <v>1286289.574</v>
      </c>
    </row>
    <row r="8" spans="1:13" ht="12">
      <c r="A8" s="9" t="s">
        <v>9</v>
      </c>
      <c r="B8" s="8"/>
      <c r="C8" s="8"/>
      <c r="D8" s="8"/>
      <c r="E8" s="8"/>
      <c r="F8" s="8"/>
      <c r="G8" s="17"/>
      <c r="H8" s="17"/>
      <c r="I8" s="17"/>
      <c r="J8" s="17"/>
      <c r="K8" s="17"/>
      <c r="L8" s="17"/>
      <c r="M8" s="17"/>
    </row>
    <row r="9" spans="1:13" ht="12">
      <c r="A9" s="9" t="s">
        <v>10</v>
      </c>
      <c r="B9" s="8">
        <v>150052.026</v>
      </c>
      <c r="C9" s="8">
        <v>150154.068</v>
      </c>
      <c r="D9" s="8">
        <v>148545</v>
      </c>
      <c r="E9" s="8">
        <v>147373.789</v>
      </c>
      <c r="F9" s="8">
        <v>147585</v>
      </c>
      <c r="G9" s="17">
        <v>147415</v>
      </c>
      <c r="H9" s="17">
        <v>147408.655</v>
      </c>
      <c r="I9" s="17">
        <v>147846</v>
      </c>
      <c r="J9" s="17">
        <v>147048</v>
      </c>
      <c r="K9" s="17">
        <v>149307</v>
      </c>
      <c r="L9" s="17">
        <v>148572.901</v>
      </c>
      <c r="M9" s="17">
        <v>148529.912</v>
      </c>
    </row>
    <row r="10" spans="1:13" ht="12">
      <c r="A10" s="9" t="s">
        <v>11</v>
      </c>
      <c r="B10" s="8">
        <v>957602.8389999999</v>
      </c>
      <c r="C10" s="8">
        <v>968689.285</v>
      </c>
      <c r="D10" s="8">
        <v>974638</v>
      </c>
      <c r="E10" s="8">
        <v>995004.746</v>
      </c>
      <c r="F10" s="8">
        <v>1022249</v>
      </c>
      <c r="G10" s="17">
        <v>1028762</v>
      </c>
      <c r="H10" s="17">
        <v>1046132.13</v>
      </c>
      <c r="I10" s="17">
        <v>1075822</v>
      </c>
      <c r="J10" s="17">
        <v>1089187</v>
      </c>
      <c r="K10" s="17">
        <v>1101978</v>
      </c>
      <c r="L10" s="17">
        <v>1136799.147</v>
      </c>
      <c r="M10" s="17">
        <v>1137759.661</v>
      </c>
    </row>
    <row r="11" spans="1:13" ht="22.5">
      <c r="A11" s="18" t="s">
        <v>12</v>
      </c>
      <c r="B11" s="5">
        <v>459315.08199999994</v>
      </c>
      <c r="C11" s="5">
        <v>465911.171</v>
      </c>
      <c r="D11" s="5">
        <v>473569</v>
      </c>
      <c r="E11" s="5">
        <v>485908.111</v>
      </c>
      <c r="F11" s="5">
        <v>498120</v>
      </c>
      <c r="G11" s="20">
        <v>503964</v>
      </c>
      <c r="H11" s="20">
        <v>513465.799</v>
      </c>
      <c r="I11" s="20">
        <v>539989</v>
      </c>
      <c r="J11" s="20">
        <v>533413</v>
      </c>
      <c r="K11" s="20">
        <v>535794</v>
      </c>
      <c r="L11" s="20">
        <f>L15+L16</f>
        <v>541910.8030000001</v>
      </c>
      <c r="M11" s="20">
        <f>M15+M16</f>
        <v>524315.214</v>
      </c>
    </row>
    <row r="12" spans="1:13" ht="12">
      <c r="A12" s="10" t="s">
        <v>6</v>
      </c>
      <c r="B12" s="14"/>
      <c r="C12" s="14"/>
      <c r="D12" s="14"/>
      <c r="E12" s="14"/>
      <c r="F12" s="14"/>
      <c r="G12" s="21"/>
      <c r="H12" s="21"/>
      <c r="I12" s="21"/>
      <c r="J12" s="21"/>
      <c r="K12" s="21"/>
      <c r="L12" s="21"/>
      <c r="M12" s="21"/>
    </row>
    <row r="13" spans="1:13" ht="12">
      <c r="A13" s="7" t="s">
        <v>8</v>
      </c>
      <c r="B13" s="8">
        <v>459315.08199999994</v>
      </c>
      <c r="C13" s="8">
        <v>465911.171</v>
      </c>
      <c r="D13" s="8">
        <v>473569</v>
      </c>
      <c r="E13" s="8">
        <v>485908.111</v>
      </c>
      <c r="F13" s="8">
        <v>498120</v>
      </c>
      <c r="G13" s="17">
        <v>503964</v>
      </c>
      <c r="H13" s="17">
        <v>513465.799</v>
      </c>
      <c r="I13" s="17">
        <v>539989</v>
      </c>
      <c r="J13" s="17">
        <v>533413</v>
      </c>
      <c r="K13" s="17">
        <v>535794</v>
      </c>
      <c r="L13" s="17">
        <f>L15+L16</f>
        <v>541910.8030000001</v>
      </c>
      <c r="M13" s="17">
        <f>M15+M16</f>
        <v>524315.214</v>
      </c>
    </row>
    <row r="14" spans="1:13" ht="12">
      <c r="A14" s="9" t="s">
        <v>13</v>
      </c>
      <c r="B14" s="8"/>
      <c r="C14" s="8"/>
      <c r="D14" s="8"/>
      <c r="E14" s="8"/>
      <c r="F14" s="8"/>
      <c r="G14" s="17"/>
      <c r="H14" s="17"/>
      <c r="I14" s="17"/>
      <c r="J14" s="17"/>
      <c r="K14" s="17"/>
      <c r="L14" s="17"/>
      <c r="M14" s="17"/>
    </row>
    <row r="15" spans="1:13" ht="12">
      <c r="A15" s="9" t="s">
        <v>10</v>
      </c>
      <c r="B15" s="8">
        <v>122315.079</v>
      </c>
      <c r="C15" s="8">
        <v>122406.225</v>
      </c>
      <c r="D15" s="8">
        <v>120788</v>
      </c>
      <c r="E15" s="8">
        <v>119695.272</v>
      </c>
      <c r="F15" s="8">
        <v>119709</v>
      </c>
      <c r="G15" s="17">
        <v>119002</v>
      </c>
      <c r="H15" s="17">
        <v>118736.491</v>
      </c>
      <c r="I15" s="17">
        <v>118926</v>
      </c>
      <c r="J15" s="17">
        <v>118195</v>
      </c>
      <c r="K15" s="17">
        <v>120403</v>
      </c>
      <c r="L15" s="17">
        <v>119585.451</v>
      </c>
      <c r="M15" s="17">
        <v>119504.41</v>
      </c>
    </row>
    <row r="16" spans="1:13" ht="12">
      <c r="A16" s="9" t="s">
        <v>11</v>
      </c>
      <c r="B16" s="8">
        <v>337000.00299999997</v>
      </c>
      <c r="C16" s="8">
        <v>343504.946</v>
      </c>
      <c r="D16" s="8">
        <v>352782</v>
      </c>
      <c r="E16" s="8">
        <v>366212.839</v>
      </c>
      <c r="F16" s="8">
        <v>378412</v>
      </c>
      <c r="G16" s="17">
        <v>384963</v>
      </c>
      <c r="H16" s="17">
        <v>394729.308</v>
      </c>
      <c r="I16" s="17">
        <v>421063</v>
      </c>
      <c r="J16" s="17">
        <v>415218</v>
      </c>
      <c r="K16" s="17">
        <v>415392</v>
      </c>
      <c r="L16" s="17">
        <v>422325.352</v>
      </c>
      <c r="M16" s="17">
        <v>404810.804</v>
      </c>
    </row>
    <row r="17" spans="1:13" ht="22.5">
      <c r="A17" s="18" t="s">
        <v>14</v>
      </c>
      <c r="B17" s="5">
        <v>648339.783</v>
      </c>
      <c r="C17" s="5">
        <v>652932.182</v>
      </c>
      <c r="D17" s="5">
        <v>649613</v>
      </c>
      <c r="E17" s="5">
        <v>656470.424</v>
      </c>
      <c r="F17" s="5">
        <v>671714</v>
      </c>
      <c r="G17" s="20">
        <v>672212</v>
      </c>
      <c r="H17" s="20">
        <v>680074.986</v>
      </c>
      <c r="I17" s="20">
        <v>683680</v>
      </c>
      <c r="J17" s="20">
        <v>702823</v>
      </c>
      <c r="K17" s="20">
        <v>715490</v>
      </c>
      <c r="L17" s="20">
        <f>L21+L22</f>
        <v>743461.245</v>
      </c>
      <c r="M17" s="20">
        <f>M21+M22</f>
        <v>761974.36</v>
      </c>
    </row>
    <row r="18" spans="1:13" ht="12">
      <c r="A18" s="6" t="s">
        <v>6</v>
      </c>
      <c r="B18" s="8"/>
      <c r="C18" s="8"/>
      <c r="D18" s="8"/>
      <c r="E18" s="8"/>
      <c r="F18" s="8"/>
      <c r="G18" s="17"/>
      <c r="H18" s="17"/>
      <c r="I18" s="17"/>
      <c r="J18" s="17"/>
      <c r="K18" s="17"/>
      <c r="L18" s="17"/>
      <c r="M18" s="17"/>
    </row>
    <row r="19" spans="1:13" ht="12">
      <c r="A19" s="7" t="s">
        <v>8</v>
      </c>
      <c r="B19" s="8">
        <v>648339.783</v>
      </c>
      <c r="C19" s="8">
        <v>652932.182</v>
      </c>
      <c r="D19" s="8">
        <v>649613</v>
      </c>
      <c r="E19" s="8">
        <v>656470.424</v>
      </c>
      <c r="F19" s="8">
        <v>671714</v>
      </c>
      <c r="G19" s="17">
        <v>672212</v>
      </c>
      <c r="H19" s="17">
        <v>680074.986</v>
      </c>
      <c r="I19" s="17">
        <v>683680</v>
      </c>
      <c r="J19" s="17">
        <v>702823</v>
      </c>
      <c r="K19" s="17">
        <v>715490</v>
      </c>
      <c r="L19" s="17">
        <f>L21+L22</f>
        <v>743461.245</v>
      </c>
      <c r="M19" s="17">
        <f>M21+M22</f>
        <v>761974.36</v>
      </c>
    </row>
    <row r="20" spans="1:13" ht="12">
      <c r="A20" s="9" t="s">
        <v>13</v>
      </c>
      <c r="B20" s="8"/>
      <c r="C20" s="8"/>
      <c r="D20" s="8"/>
      <c r="E20" s="8"/>
      <c r="F20" s="8"/>
      <c r="G20" s="17"/>
      <c r="H20" s="17"/>
      <c r="I20" s="17"/>
      <c r="J20" s="17"/>
      <c r="K20" s="17"/>
      <c r="L20" s="17"/>
      <c r="M20" s="17"/>
    </row>
    <row r="21" spans="1:13" ht="12">
      <c r="A21" s="9" t="s">
        <v>10</v>
      </c>
      <c r="B21" s="16">
        <v>27736.947</v>
      </c>
      <c r="C21" s="16">
        <v>27747.843</v>
      </c>
      <c r="D21" s="16">
        <v>27757</v>
      </c>
      <c r="E21" s="16">
        <v>27678.517</v>
      </c>
      <c r="F21" s="16">
        <v>27877</v>
      </c>
      <c r="G21" s="22">
        <v>28413</v>
      </c>
      <c r="H21" s="22">
        <v>28672.164</v>
      </c>
      <c r="I21" s="22">
        <v>28920</v>
      </c>
      <c r="J21" s="22">
        <v>28853</v>
      </c>
      <c r="K21" s="22">
        <v>28904</v>
      </c>
      <c r="L21" s="22">
        <v>28987.45</v>
      </c>
      <c r="M21" s="22">
        <v>29025.502</v>
      </c>
    </row>
    <row r="22" spans="1:13" ht="12">
      <c r="A22" s="9" t="s">
        <v>11</v>
      </c>
      <c r="B22" s="8">
        <v>620602.836</v>
      </c>
      <c r="C22" s="8">
        <v>625184.339</v>
      </c>
      <c r="D22" s="8">
        <v>621856</v>
      </c>
      <c r="E22" s="8">
        <v>628791.907</v>
      </c>
      <c r="F22" s="8">
        <v>643837</v>
      </c>
      <c r="G22" s="17">
        <v>643799</v>
      </c>
      <c r="H22" s="17">
        <v>651402.822</v>
      </c>
      <c r="I22" s="17">
        <v>654759</v>
      </c>
      <c r="J22" s="17">
        <v>673970</v>
      </c>
      <c r="K22" s="17">
        <v>686586</v>
      </c>
      <c r="L22" s="17">
        <v>714473.795</v>
      </c>
      <c r="M22" s="17">
        <v>732948.858</v>
      </c>
    </row>
    <row r="23" spans="1:13" ht="12">
      <c r="A23" s="26" t="s">
        <v>15</v>
      </c>
      <c r="B23" s="13"/>
      <c r="C23" s="13"/>
      <c r="D23" s="13"/>
      <c r="E23" s="13"/>
      <c r="F23" s="13"/>
      <c r="G23" s="23"/>
      <c r="H23" s="23"/>
      <c r="I23" s="23"/>
      <c r="J23" s="23"/>
      <c r="K23" s="23"/>
      <c r="L23" s="23"/>
      <c r="M23" s="23"/>
    </row>
    <row r="24" spans="1:13" ht="12">
      <c r="A24" s="4" t="s">
        <v>36</v>
      </c>
      <c r="B24" s="1">
        <f>B26+B27</f>
        <v>38230.041</v>
      </c>
      <c r="C24" s="1">
        <f aca="true" t="shared" si="0" ref="C24:M24">C26+C27</f>
        <v>36409.419</v>
      </c>
      <c r="D24" s="1">
        <f t="shared" si="0"/>
        <v>40479</v>
      </c>
      <c r="E24" s="1">
        <f t="shared" si="0"/>
        <v>38062.718</v>
      </c>
      <c r="F24" s="1">
        <f t="shared" si="0"/>
        <v>42391</v>
      </c>
      <c r="G24" s="20">
        <f t="shared" si="0"/>
        <v>39631.175</v>
      </c>
      <c r="H24" s="20">
        <f t="shared" si="0"/>
        <v>46694.625</v>
      </c>
      <c r="I24" s="20">
        <f t="shared" si="0"/>
        <v>42306</v>
      </c>
      <c r="J24" s="20">
        <f t="shared" si="0"/>
        <v>39763</v>
      </c>
      <c r="K24" s="20">
        <f t="shared" si="0"/>
        <v>43340</v>
      </c>
      <c r="L24" s="20">
        <f t="shared" si="0"/>
        <v>41408.365999999995</v>
      </c>
      <c r="M24" s="20">
        <f t="shared" si="0"/>
        <v>42545.129</v>
      </c>
    </row>
    <row r="25" spans="1:13" ht="12">
      <c r="A25" s="11" t="s">
        <v>6</v>
      </c>
      <c r="B25" s="8"/>
      <c r="C25" s="8"/>
      <c r="D25" s="8"/>
      <c r="E25" s="8"/>
      <c r="F25" s="8"/>
      <c r="G25" s="17"/>
      <c r="H25" s="17"/>
      <c r="I25" s="17"/>
      <c r="J25" s="17"/>
      <c r="K25" s="17"/>
      <c r="L25" s="17"/>
      <c r="M25" s="17"/>
    </row>
    <row r="26" spans="1:13" ht="22.5">
      <c r="A26" s="12" t="s">
        <v>17</v>
      </c>
      <c r="B26" s="15">
        <v>23245.105</v>
      </c>
      <c r="C26" s="15">
        <v>23183.345</v>
      </c>
      <c r="D26" s="15">
        <v>22700</v>
      </c>
      <c r="E26" s="15">
        <v>23788.49</v>
      </c>
      <c r="F26" s="15">
        <v>23612</v>
      </c>
      <c r="G26" s="25">
        <v>22131</v>
      </c>
      <c r="H26" s="25">
        <v>27099.403</v>
      </c>
      <c r="I26" s="25">
        <v>23243</v>
      </c>
      <c r="J26" s="25">
        <v>21899</v>
      </c>
      <c r="K26" s="25">
        <v>24794</v>
      </c>
      <c r="L26" s="25">
        <v>24490.725</v>
      </c>
      <c r="M26" s="25">
        <v>24133.196</v>
      </c>
    </row>
    <row r="27" spans="1:13" ht="12">
      <c r="A27" s="12" t="s">
        <v>28</v>
      </c>
      <c r="B27" s="15">
        <v>14984.936</v>
      </c>
      <c r="C27" s="15">
        <v>13226.074</v>
      </c>
      <c r="D27" s="15">
        <v>17779</v>
      </c>
      <c r="E27" s="15">
        <v>14274.228</v>
      </c>
      <c r="F27" s="15">
        <v>18779</v>
      </c>
      <c r="G27" s="25">
        <v>17500.175</v>
      </c>
      <c r="H27" s="25">
        <v>19595.222</v>
      </c>
      <c r="I27" s="25">
        <v>19063</v>
      </c>
      <c r="J27" s="25">
        <v>17864</v>
      </c>
      <c r="K27" s="25">
        <v>18546</v>
      </c>
      <c r="L27" s="25">
        <v>16917.641</v>
      </c>
      <c r="M27" s="25">
        <v>18411.933</v>
      </c>
    </row>
  </sheetData>
  <sheetProtection/>
  <mergeCells count="3">
    <mergeCell ref="B3:M3"/>
    <mergeCell ref="A1:M1"/>
    <mergeCell ref="A2:M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7"/>
  <sheetViews>
    <sheetView zoomScale="90" zoomScaleNormal="90" zoomScaleSheetLayoutView="100" zoomScalePageLayoutView="0" workbookViewId="0" topLeftCell="A1">
      <pane xSplit="1" ySplit="4" topLeftCell="B5" activePane="bottomRight" state="frozen"/>
      <selection pane="topLeft" activeCell="B3" sqref="B3:G3"/>
      <selection pane="topRight" activeCell="B3" sqref="B3:G3"/>
      <selection pane="bottomLeft" activeCell="B3" sqref="B3:G3"/>
      <selection pane="bottomRight" activeCell="B3" sqref="B3:G3"/>
    </sheetView>
  </sheetViews>
  <sheetFormatPr defaultColWidth="9.00390625" defaultRowHeight="12.75"/>
  <cols>
    <col min="1" max="1" width="29.00390625" style="0" customWidth="1"/>
    <col min="2" max="2" width="10.75390625" style="0" customWidth="1"/>
    <col min="3" max="3" width="9.50390625" style="0" bestFit="1" customWidth="1"/>
    <col min="4" max="4" width="10.25390625" style="0" customWidth="1"/>
    <col min="5" max="5" width="9.75390625" style="0" bestFit="1" customWidth="1"/>
    <col min="6" max="6" width="11.00390625" style="0" customWidth="1"/>
    <col min="7" max="12" width="9.75390625" style="0" bestFit="1" customWidth="1"/>
    <col min="13" max="13" width="11.75390625" style="0" customWidth="1"/>
  </cols>
  <sheetData>
    <row r="1" spans="1:13" ht="15">
      <c r="A1" s="93" t="s">
        <v>33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2.75">
      <c r="A2" s="94" t="s">
        <v>31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2">
      <c r="A3" s="2" t="s">
        <v>0</v>
      </c>
      <c r="B3" s="90">
        <v>2004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12">
      <c r="A4" s="2" t="s">
        <v>1</v>
      </c>
      <c r="B4" s="3" t="s">
        <v>2</v>
      </c>
      <c r="C4" s="3" t="s">
        <v>29</v>
      </c>
      <c r="D4" s="3" t="s">
        <v>4</v>
      </c>
      <c r="E4" s="3" t="s">
        <v>19</v>
      </c>
      <c r="F4" s="3" t="s">
        <v>18</v>
      </c>
      <c r="G4" s="19" t="s">
        <v>20</v>
      </c>
      <c r="H4" s="19" t="s">
        <v>21</v>
      </c>
      <c r="I4" s="19" t="s">
        <v>22</v>
      </c>
      <c r="J4" s="19" t="s">
        <v>23</v>
      </c>
      <c r="K4" s="19" t="s">
        <v>24</v>
      </c>
      <c r="L4" s="19" t="s">
        <v>25</v>
      </c>
      <c r="M4" s="19" t="s">
        <v>26</v>
      </c>
    </row>
    <row r="5" spans="1:13" ht="12">
      <c r="A5" s="4" t="s">
        <v>5</v>
      </c>
      <c r="B5" s="5">
        <v>679170.4739999999</v>
      </c>
      <c r="C5" s="5">
        <v>703281.138</v>
      </c>
      <c r="D5" s="5">
        <v>730415.783</v>
      </c>
      <c r="E5" s="5">
        <v>982653.1140000001</v>
      </c>
      <c r="F5" s="5">
        <v>1012635.7849999999</v>
      </c>
      <c r="G5" s="20">
        <v>1024956.094</v>
      </c>
      <c r="H5" s="20">
        <v>1039357.228</v>
      </c>
      <c r="I5" s="20">
        <v>1044082.531</v>
      </c>
      <c r="J5" s="20">
        <v>1096645.2449999999</v>
      </c>
      <c r="K5" s="20">
        <v>1103830.9139999999</v>
      </c>
      <c r="L5" s="20">
        <v>1112450.0189999999</v>
      </c>
      <c r="M5" s="20">
        <v>1091489.668</v>
      </c>
    </row>
    <row r="6" spans="1:13" ht="12">
      <c r="A6" s="6" t="s">
        <v>6</v>
      </c>
      <c r="B6" s="14"/>
      <c r="C6" s="14"/>
      <c r="D6" s="14"/>
      <c r="E6" s="14"/>
      <c r="F6" s="14"/>
      <c r="G6" s="21"/>
      <c r="H6" s="21"/>
      <c r="I6" s="21"/>
      <c r="J6" s="21"/>
      <c r="K6" s="21"/>
      <c r="L6" s="21"/>
      <c r="M6" s="21"/>
    </row>
    <row r="7" spans="1:13" ht="12">
      <c r="A7" s="7" t="s">
        <v>8</v>
      </c>
      <c r="B7" s="8">
        <v>679170.4739999999</v>
      </c>
      <c r="C7" s="8">
        <v>703281.138</v>
      </c>
      <c r="D7" s="8">
        <v>730415.783</v>
      </c>
      <c r="E7" s="8">
        <v>982653.1140000001</v>
      </c>
      <c r="F7" s="8">
        <v>1012635.7849999999</v>
      </c>
      <c r="G7" s="17">
        <v>1024956.094</v>
      </c>
      <c r="H7" s="17">
        <v>1039357.228</v>
      </c>
      <c r="I7" s="17">
        <v>1044082.531</v>
      </c>
      <c r="J7" s="17">
        <v>1096645.2449999999</v>
      </c>
      <c r="K7" s="17">
        <v>1103830.9139999999</v>
      </c>
      <c r="L7" s="17">
        <v>1112450.0189999999</v>
      </c>
      <c r="M7" s="17">
        <v>1091489.668</v>
      </c>
    </row>
    <row r="8" spans="1:13" ht="12">
      <c r="A8" s="9" t="s">
        <v>9</v>
      </c>
      <c r="B8" s="8"/>
      <c r="C8" s="8"/>
      <c r="D8" s="8"/>
      <c r="E8" s="8"/>
      <c r="F8" s="8"/>
      <c r="G8" s="17"/>
      <c r="H8" s="17"/>
      <c r="I8" s="17"/>
      <c r="J8" s="17"/>
      <c r="K8" s="17"/>
      <c r="L8" s="17"/>
      <c r="M8" s="17"/>
    </row>
    <row r="9" spans="1:13" ht="12">
      <c r="A9" s="9" t="s">
        <v>10</v>
      </c>
      <c r="B9" s="8">
        <v>143218.654</v>
      </c>
      <c r="C9" s="8">
        <v>144338.292</v>
      </c>
      <c r="D9" s="8">
        <v>141995.903</v>
      </c>
      <c r="E9" s="8">
        <v>149154.066</v>
      </c>
      <c r="F9" s="8">
        <v>150323.303</v>
      </c>
      <c r="G9" s="17">
        <v>149945.459</v>
      </c>
      <c r="H9" s="17">
        <v>150346.307</v>
      </c>
      <c r="I9" s="17">
        <v>150549.932</v>
      </c>
      <c r="J9" s="17">
        <v>151081.015</v>
      </c>
      <c r="K9" s="17">
        <v>150666.201</v>
      </c>
      <c r="L9" s="17">
        <v>150868.356</v>
      </c>
      <c r="M9" s="17">
        <v>150291.655</v>
      </c>
    </row>
    <row r="10" spans="1:13" ht="12">
      <c r="A10" s="9" t="s">
        <v>11</v>
      </c>
      <c r="B10" s="8">
        <v>535951.82</v>
      </c>
      <c r="C10" s="8">
        <v>558942.846</v>
      </c>
      <c r="D10" s="8">
        <v>588419.88</v>
      </c>
      <c r="E10" s="8">
        <v>833499.048</v>
      </c>
      <c r="F10" s="8">
        <v>862312.482</v>
      </c>
      <c r="G10" s="17">
        <v>875010.635</v>
      </c>
      <c r="H10" s="17">
        <v>889010.9210000001</v>
      </c>
      <c r="I10" s="17">
        <v>893532.599</v>
      </c>
      <c r="J10" s="17">
        <v>945564.23</v>
      </c>
      <c r="K10" s="17">
        <v>953164.713</v>
      </c>
      <c r="L10" s="17">
        <v>961581.663</v>
      </c>
      <c r="M10" s="17">
        <v>941198.013</v>
      </c>
    </row>
    <row r="11" spans="1:13" ht="22.5">
      <c r="A11" s="18" t="s">
        <v>12</v>
      </c>
      <c r="B11" s="5">
        <v>282338.68200000003</v>
      </c>
      <c r="C11" s="5">
        <v>288666.223</v>
      </c>
      <c r="D11" s="5">
        <v>295940.904</v>
      </c>
      <c r="E11" s="5">
        <v>408199.265</v>
      </c>
      <c r="F11" s="5">
        <v>421296.423</v>
      </c>
      <c r="G11" s="20">
        <v>421847.934</v>
      </c>
      <c r="H11" s="20">
        <v>435424.475</v>
      </c>
      <c r="I11" s="20">
        <v>435913.61</v>
      </c>
      <c r="J11" s="20">
        <v>447484.399</v>
      </c>
      <c r="K11" s="20">
        <v>455314.4</v>
      </c>
      <c r="L11" s="20">
        <v>466968.269</v>
      </c>
      <c r="M11" s="20">
        <v>455712.234</v>
      </c>
    </row>
    <row r="12" spans="1:13" ht="12">
      <c r="A12" s="10" t="s">
        <v>6</v>
      </c>
      <c r="B12" s="14"/>
      <c r="C12" s="14"/>
      <c r="D12" s="14"/>
      <c r="E12" s="14"/>
      <c r="F12" s="14"/>
      <c r="G12" s="21"/>
      <c r="H12" s="21"/>
      <c r="I12" s="21"/>
      <c r="J12" s="21"/>
      <c r="K12" s="21"/>
      <c r="L12" s="21"/>
      <c r="M12" s="21"/>
    </row>
    <row r="13" spans="1:13" ht="12">
      <c r="A13" s="7" t="s">
        <v>8</v>
      </c>
      <c r="B13" s="8">
        <v>282338.68200000003</v>
      </c>
      <c r="C13" s="8">
        <v>288666.223</v>
      </c>
      <c r="D13" s="8">
        <v>295940.904</v>
      </c>
      <c r="E13" s="8">
        <v>408199.265</v>
      </c>
      <c r="F13" s="8">
        <v>421296.423</v>
      </c>
      <c r="G13" s="17">
        <v>421847.934</v>
      </c>
      <c r="H13" s="17">
        <v>435424.475</v>
      </c>
      <c r="I13" s="17">
        <v>435913.61</v>
      </c>
      <c r="J13" s="17">
        <v>447484.399</v>
      </c>
      <c r="K13" s="17">
        <v>455314.4</v>
      </c>
      <c r="L13" s="17">
        <v>466968.269</v>
      </c>
      <c r="M13" s="17">
        <v>455712.234</v>
      </c>
    </row>
    <row r="14" spans="1:13" ht="12">
      <c r="A14" s="9" t="s">
        <v>13</v>
      </c>
      <c r="B14" s="8"/>
      <c r="C14" s="8"/>
      <c r="D14" s="8"/>
      <c r="E14" s="8"/>
      <c r="F14" s="8"/>
      <c r="G14" s="17"/>
      <c r="H14" s="17"/>
      <c r="I14" s="17"/>
      <c r="J14" s="17"/>
      <c r="K14" s="17"/>
      <c r="L14" s="17"/>
      <c r="M14" s="17"/>
    </row>
    <row r="15" spans="1:13" ht="12">
      <c r="A15" s="9" t="s">
        <v>10</v>
      </c>
      <c r="B15" s="8">
        <v>116554.994</v>
      </c>
      <c r="C15" s="8">
        <v>117865.525</v>
      </c>
      <c r="D15" s="8">
        <v>115453.05</v>
      </c>
      <c r="E15" s="8">
        <v>122572.783</v>
      </c>
      <c r="F15" s="8">
        <v>123631.629</v>
      </c>
      <c r="G15" s="17">
        <v>122732.098</v>
      </c>
      <c r="H15" s="17">
        <v>122896.911</v>
      </c>
      <c r="I15" s="17">
        <v>123003.781</v>
      </c>
      <c r="J15" s="17">
        <v>123459.217</v>
      </c>
      <c r="K15" s="17">
        <v>123041.94</v>
      </c>
      <c r="L15" s="17">
        <v>123202.883</v>
      </c>
      <c r="M15" s="17">
        <v>122581.017</v>
      </c>
    </row>
    <row r="16" spans="1:13" ht="12">
      <c r="A16" s="9" t="s">
        <v>11</v>
      </c>
      <c r="B16" s="8">
        <v>165783.688</v>
      </c>
      <c r="C16" s="8">
        <v>170800.698</v>
      </c>
      <c r="D16" s="8">
        <v>180487.854</v>
      </c>
      <c r="E16" s="8">
        <v>285626.482</v>
      </c>
      <c r="F16" s="8">
        <v>297664.794</v>
      </c>
      <c r="G16" s="17">
        <v>299115.836</v>
      </c>
      <c r="H16" s="17">
        <v>312527.564</v>
      </c>
      <c r="I16" s="17">
        <v>312909.829</v>
      </c>
      <c r="J16" s="17">
        <v>324025.182</v>
      </c>
      <c r="K16" s="17">
        <v>332272.46</v>
      </c>
      <c r="L16" s="17">
        <v>343765.386</v>
      </c>
      <c r="M16" s="17">
        <v>333131.217</v>
      </c>
    </row>
    <row r="17" spans="1:13" ht="22.5">
      <c r="A17" s="18" t="s">
        <v>14</v>
      </c>
      <c r="B17" s="5">
        <v>396831.79199999996</v>
      </c>
      <c r="C17" s="5">
        <v>414614.915</v>
      </c>
      <c r="D17" s="5">
        <v>434474.879</v>
      </c>
      <c r="E17" s="5">
        <v>574453.849</v>
      </c>
      <c r="F17" s="5">
        <v>591339.362</v>
      </c>
      <c r="G17" s="20">
        <v>603108.16</v>
      </c>
      <c r="H17" s="20">
        <v>603932.753</v>
      </c>
      <c r="I17" s="20">
        <v>608168.921</v>
      </c>
      <c r="J17" s="20">
        <v>649160.8459999999</v>
      </c>
      <c r="K17" s="20">
        <v>648516.514</v>
      </c>
      <c r="L17" s="20">
        <v>645481.75</v>
      </c>
      <c r="M17" s="20">
        <v>635777.434</v>
      </c>
    </row>
    <row r="18" spans="1:13" ht="12">
      <c r="A18" s="6" t="s">
        <v>6</v>
      </c>
      <c r="B18" s="8"/>
      <c r="C18" s="8"/>
      <c r="D18" s="8"/>
      <c r="E18" s="8"/>
      <c r="F18" s="8"/>
      <c r="G18" s="17"/>
      <c r="H18" s="17"/>
      <c r="I18" s="17"/>
      <c r="J18" s="17"/>
      <c r="K18" s="17"/>
      <c r="L18" s="17"/>
      <c r="M18" s="17"/>
    </row>
    <row r="19" spans="1:13" ht="12">
      <c r="A19" s="7" t="s">
        <v>8</v>
      </c>
      <c r="B19" s="8">
        <v>396831.79199999996</v>
      </c>
      <c r="C19" s="8">
        <v>414614.915</v>
      </c>
      <c r="D19" s="8">
        <v>434474.879</v>
      </c>
      <c r="E19" s="8">
        <v>574453.849</v>
      </c>
      <c r="F19" s="8">
        <v>591339.362</v>
      </c>
      <c r="G19" s="17">
        <v>603108.16</v>
      </c>
      <c r="H19" s="17">
        <v>603932.753</v>
      </c>
      <c r="I19" s="17">
        <v>608168.921</v>
      </c>
      <c r="J19" s="17">
        <v>649160.8459999999</v>
      </c>
      <c r="K19" s="17">
        <v>648516.514</v>
      </c>
      <c r="L19" s="17">
        <v>645481.75</v>
      </c>
      <c r="M19" s="17">
        <v>635777.434</v>
      </c>
    </row>
    <row r="20" spans="1:13" ht="12">
      <c r="A20" s="9" t="s">
        <v>13</v>
      </c>
      <c r="B20" s="8"/>
      <c r="C20" s="8"/>
      <c r="D20" s="8"/>
      <c r="E20" s="8"/>
      <c r="F20" s="8"/>
      <c r="G20" s="17"/>
      <c r="H20" s="17"/>
      <c r="I20" s="17"/>
      <c r="J20" s="17"/>
      <c r="K20" s="17"/>
      <c r="L20" s="17"/>
      <c r="M20" s="17"/>
    </row>
    <row r="21" spans="1:13" ht="12">
      <c r="A21" s="9" t="s">
        <v>10</v>
      </c>
      <c r="B21" s="16">
        <v>26663.66</v>
      </c>
      <c r="C21" s="16">
        <v>26472.767</v>
      </c>
      <c r="D21" s="16">
        <v>26542.853</v>
      </c>
      <c r="E21" s="16">
        <v>26581.283</v>
      </c>
      <c r="F21" s="16">
        <v>26691.674</v>
      </c>
      <c r="G21" s="22">
        <v>27213.361</v>
      </c>
      <c r="H21" s="22">
        <v>27449.396</v>
      </c>
      <c r="I21" s="22">
        <v>27546.151</v>
      </c>
      <c r="J21" s="22">
        <v>27621.798</v>
      </c>
      <c r="K21" s="22">
        <v>27624.261</v>
      </c>
      <c r="L21" s="22">
        <v>27665.473</v>
      </c>
      <c r="M21" s="22">
        <v>27710.638</v>
      </c>
    </row>
    <row r="22" spans="1:13" ht="12">
      <c r="A22" s="9" t="s">
        <v>11</v>
      </c>
      <c r="B22" s="8">
        <v>370168.132</v>
      </c>
      <c r="C22" s="8">
        <v>388142.148</v>
      </c>
      <c r="D22" s="8">
        <v>407932.026</v>
      </c>
      <c r="E22" s="8">
        <v>547872.566</v>
      </c>
      <c r="F22" s="8">
        <v>564647.688</v>
      </c>
      <c r="G22" s="17">
        <v>575894.799</v>
      </c>
      <c r="H22" s="17">
        <v>576483.3570000001</v>
      </c>
      <c r="I22" s="17">
        <v>580622.77</v>
      </c>
      <c r="J22" s="17">
        <v>621539.048</v>
      </c>
      <c r="K22" s="17">
        <v>620892.253</v>
      </c>
      <c r="L22" s="17">
        <v>617816.277</v>
      </c>
      <c r="M22" s="17">
        <v>608066.796</v>
      </c>
    </row>
    <row r="23" spans="1:13" ht="12">
      <c r="A23" s="26" t="s">
        <v>15</v>
      </c>
      <c r="B23" s="13"/>
      <c r="C23" s="13"/>
      <c r="D23" s="13"/>
      <c r="E23" s="13"/>
      <c r="F23" s="13"/>
      <c r="G23" s="23"/>
      <c r="H23" s="23"/>
      <c r="I23" s="23"/>
      <c r="J23" s="23"/>
      <c r="K23" s="23"/>
      <c r="L23" s="23"/>
      <c r="M23" s="23"/>
    </row>
    <row r="24" spans="1:13" ht="22.5">
      <c r="A24" s="4" t="s">
        <v>35</v>
      </c>
      <c r="B24" s="1">
        <v>32801.953</v>
      </c>
      <c r="C24" s="1">
        <v>32002.04</v>
      </c>
      <c r="D24" s="1">
        <v>32241.135000000002</v>
      </c>
      <c r="E24" s="1">
        <v>35712.947</v>
      </c>
      <c r="F24" s="1">
        <v>35346.653</v>
      </c>
      <c r="G24" s="20">
        <v>37116.215</v>
      </c>
      <c r="H24" s="20">
        <v>36681.955</v>
      </c>
      <c r="I24" s="20">
        <v>38898.308</v>
      </c>
      <c r="J24" s="20">
        <v>36647.379</v>
      </c>
      <c r="K24" s="20">
        <v>40746.237</v>
      </c>
      <c r="L24" s="20">
        <v>41080.019</v>
      </c>
      <c r="M24" s="20">
        <v>39321.039000000004</v>
      </c>
    </row>
    <row r="25" spans="1:13" ht="12">
      <c r="A25" s="11" t="s">
        <v>6</v>
      </c>
      <c r="B25" s="8"/>
      <c r="C25" s="8"/>
      <c r="D25" s="8"/>
      <c r="E25" s="8"/>
      <c r="F25" s="8"/>
      <c r="G25" s="17"/>
      <c r="H25" s="17"/>
      <c r="I25" s="17"/>
      <c r="J25" s="17"/>
      <c r="K25" s="17"/>
      <c r="L25" s="17"/>
      <c r="M25" s="17"/>
    </row>
    <row r="26" spans="1:13" ht="22.5">
      <c r="A26" s="12" t="s">
        <v>17</v>
      </c>
      <c r="B26" s="15">
        <v>24348.239</v>
      </c>
      <c r="C26" s="15">
        <v>25922.38</v>
      </c>
      <c r="D26" s="15">
        <v>25764.557</v>
      </c>
      <c r="E26" s="15">
        <v>25604.62</v>
      </c>
      <c r="F26" s="15">
        <v>24841.976</v>
      </c>
      <c r="G26" s="25">
        <v>25988.091</v>
      </c>
      <c r="H26" s="25">
        <v>25184.789</v>
      </c>
      <c r="I26" s="25">
        <v>26121.48</v>
      </c>
      <c r="J26" s="25">
        <v>24993.352</v>
      </c>
      <c r="K26" s="25">
        <v>28964.163</v>
      </c>
      <c r="L26" s="25">
        <v>29241.837</v>
      </c>
      <c r="M26" s="25">
        <v>26605.204</v>
      </c>
    </row>
    <row r="27" spans="1:13" ht="12">
      <c r="A27" s="12" t="s">
        <v>28</v>
      </c>
      <c r="B27" s="15">
        <v>8453.714</v>
      </c>
      <c r="C27" s="15">
        <v>6079.66</v>
      </c>
      <c r="D27" s="15">
        <v>6476.578</v>
      </c>
      <c r="E27" s="15">
        <v>10108.327</v>
      </c>
      <c r="F27" s="15">
        <v>10504.677</v>
      </c>
      <c r="G27" s="25">
        <v>11128.124</v>
      </c>
      <c r="H27" s="25">
        <v>11497.166</v>
      </c>
      <c r="I27" s="25">
        <v>12776.828</v>
      </c>
      <c r="J27" s="25">
        <v>11654.027</v>
      </c>
      <c r="K27" s="25">
        <v>11782.074</v>
      </c>
      <c r="L27" s="25">
        <v>11838.182</v>
      </c>
      <c r="M27" s="25">
        <v>12715.835</v>
      </c>
    </row>
  </sheetData>
  <sheetProtection/>
  <mergeCells count="3">
    <mergeCell ref="B3:M3"/>
    <mergeCell ref="A1:M1"/>
    <mergeCell ref="A2:M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30"/>
  <sheetViews>
    <sheetView zoomScale="90" zoomScaleNormal="90" zoomScaleSheetLayoutView="100" zoomScalePageLayoutView="0" workbookViewId="0" topLeftCell="A1">
      <pane xSplit="1" ySplit="4" topLeftCell="B5" activePane="bottomRight" state="frozen"/>
      <selection pane="topLeft" activeCell="B3" sqref="B3:G3"/>
      <selection pane="topRight" activeCell="B3" sqref="B3:G3"/>
      <selection pane="bottomLeft" activeCell="B3" sqref="B3:G3"/>
      <selection pane="bottomRight" activeCell="M11" sqref="M11"/>
    </sheetView>
  </sheetViews>
  <sheetFormatPr defaultColWidth="9.00390625" defaultRowHeight="12.75"/>
  <cols>
    <col min="1" max="1" width="29.00390625" style="0" customWidth="1"/>
    <col min="2" max="2" width="10.75390625" style="0" customWidth="1"/>
    <col min="3" max="3" width="9.50390625" style="0" bestFit="1" customWidth="1"/>
    <col min="4" max="4" width="10.25390625" style="0" customWidth="1"/>
    <col min="5" max="5" width="9.75390625" style="0" bestFit="1" customWidth="1"/>
    <col min="6" max="6" width="11.00390625" style="0" customWidth="1"/>
    <col min="7" max="12" width="9.75390625" style="0" bestFit="1" customWidth="1"/>
    <col min="13" max="13" width="11.75390625" style="0" customWidth="1"/>
  </cols>
  <sheetData>
    <row r="1" spans="1:13" ht="15">
      <c r="A1" s="93" t="s">
        <v>33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2.75">
      <c r="A2" s="94" t="s">
        <v>31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2">
      <c r="A3" s="2" t="s">
        <v>0</v>
      </c>
      <c r="B3" s="90">
        <v>2003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12">
      <c r="A4" s="2" t="s">
        <v>1</v>
      </c>
      <c r="B4" s="3" t="s">
        <v>2</v>
      </c>
      <c r="C4" s="3" t="s">
        <v>3</v>
      </c>
      <c r="D4" s="3" t="s">
        <v>4</v>
      </c>
      <c r="E4" s="3" t="s">
        <v>19</v>
      </c>
      <c r="F4" s="3" t="s">
        <v>18</v>
      </c>
      <c r="G4" s="19" t="s">
        <v>20</v>
      </c>
      <c r="H4" s="19" t="s">
        <v>21</v>
      </c>
      <c r="I4" s="19" t="s">
        <v>22</v>
      </c>
      <c r="J4" s="19" t="s">
        <v>23</v>
      </c>
      <c r="K4" s="19" t="s">
        <v>24</v>
      </c>
      <c r="L4" s="19" t="s">
        <v>25</v>
      </c>
      <c r="M4" s="19" t="s">
        <v>26</v>
      </c>
    </row>
    <row r="5" spans="1:13" ht="12">
      <c r="A5" s="4" t="s">
        <v>5</v>
      </c>
      <c r="B5" s="5">
        <v>652553.8150000001</v>
      </c>
      <c r="C5" s="5">
        <v>691009.281</v>
      </c>
      <c r="D5" s="5">
        <v>726986.8770000001</v>
      </c>
      <c r="E5" s="5">
        <v>774873.4720000001</v>
      </c>
      <c r="F5" s="5">
        <v>778472.446</v>
      </c>
      <c r="G5" s="20">
        <v>804812.122</v>
      </c>
      <c r="H5" s="20">
        <f>H7+H8</f>
        <v>820143.7980000001</v>
      </c>
      <c r="I5" s="20">
        <f>I7+I8</f>
        <v>818615.683</v>
      </c>
      <c r="J5" s="20">
        <f>J7+J8</f>
        <v>825573.981</v>
      </c>
      <c r="K5" s="20">
        <f>K7+K8</f>
        <v>884227.75</v>
      </c>
      <c r="L5" s="20">
        <f>L7+L8</f>
        <v>847861.59</v>
      </c>
      <c r="M5" s="20">
        <v>671921.267</v>
      </c>
    </row>
    <row r="6" spans="1:13" ht="12">
      <c r="A6" s="6" t="s">
        <v>6</v>
      </c>
      <c r="B6" s="14"/>
      <c r="C6" s="14"/>
      <c r="D6" s="14"/>
      <c r="E6" s="14"/>
      <c r="F6" s="14"/>
      <c r="G6" s="21"/>
      <c r="H6" s="21"/>
      <c r="I6" s="21"/>
      <c r="J6" s="21"/>
      <c r="K6" s="21"/>
      <c r="L6" s="21"/>
      <c r="M6" s="21"/>
    </row>
    <row r="7" spans="1:13" ht="12">
      <c r="A7" s="7" t="s">
        <v>7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17">
        <v>0</v>
      </c>
      <c r="H7" s="17">
        <f>H14+H21</f>
        <v>25601.925</v>
      </c>
      <c r="I7" s="17">
        <f>I14+I21</f>
        <v>23943.895</v>
      </c>
      <c r="J7" s="17">
        <f>J14+J21</f>
        <v>23943.895</v>
      </c>
      <c r="K7" s="17">
        <f>K14+K21</f>
        <v>23373.435</v>
      </c>
      <c r="L7" s="17">
        <f>L14+L21</f>
        <v>22656.792</v>
      </c>
      <c r="M7" s="17">
        <v>0</v>
      </c>
    </row>
    <row r="8" spans="1:13" ht="12">
      <c r="A8" s="9" t="s">
        <v>8</v>
      </c>
      <c r="B8" s="8">
        <v>652553.8150000001</v>
      </c>
      <c r="C8" s="8">
        <v>691009.281</v>
      </c>
      <c r="D8" s="8">
        <v>726986.8770000001</v>
      </c>
      <c r="E8" s="8">
        <v>774873.4720000001</v>
      </c>
      <c r="F8" s="8">
        <v>778472.446</v>
      </c>
      <c r="G8" s="17">
        <v>804812.122</v>
      </c>
      <c r="H8" s="17">
        <f>H10+H11</f>
        <v>794541.873</v>
      </c>
      <c r="I8" s="17">
        <f>I10+I11</f>
        <v>794671.788</v>
      </c>
      <c r="J8" s="17">
        <f>J10+J11</f>
        <v>801630.086</v>
      </c>
      <c r="K8" s="17">
        <f>K10+K11</f>
        <v>860854.315</v>
      </c>
      <c r="L8" s="17">
        <f>L10+L11</f>
        <v>825204.798</v>
      </c>
      <c r="M8" s="17">
        <v>671921.267</v>
      </c>
    </row>
    <row r="9" spans="1:13" ht="12">
      <c r="A9" s="9" t="s">
        <v>9</v>
      </c>
      <c r="B9" s="8"/>
      <c r="C9" s="8"/>
      <c r="D9" s="8"/>
      <c r="E9" s="8"/>
      <c r="F9" s="8"/>
      <c r="G9" s="17"/>
      <c r="H9" s="17"/>
      <c r="I9" s="17"/>
      <c r="J9" s="17"/>
      <c r="K9" s="17"/>
      <c r="L9" s="17"/>
      <c r="M9" s="17"/>
    </row>
    <row r="10" spans="1:13" ht="12">
      <c r="A10" s="9" t="s">
        <v>10</v>
      </c>
      <c r="B10" s="8">
        <v>178977.276</v>
      </c>
      <c r="C10" s="8">
        <v>179888.245</v>
      </c>
      <c r="D10" s="8">
        <v>179954.794</v>
      </c>
      <c r="E10" s="8">
        <v>180030.529</v>
      </c>
      <c r="F10" s="8">
        <v>179992.687</v>
      </c>
      <c r="G10" s="17">
        <v>180036.98200000002</v>
      </c>
      <c r="H10" s="17">
        <f aca="true" t="shared" si="0" ref="H10:L11">H17+H24</f>
        <v>148349.459</v>
      </c>
      <c r="I10" s="17">
        <f t="shared" si="0"/>
        <v>150035.618</v>
      </c>
      <c r="J10" s="17">
        <f t="shared" si="0"/>
        <v>150522.289</v>
      </c>
      <c r="K10" s="17">
        <f t="shared" si="0"/>
        <v>150767.933</v>
      </c>
      <c r="L10" s="17">
        <f t="shared" si="0"/>
        <v>151476.891</v>
      </c>
      <c r="M10" s="17">
        <v>149276.853</v>
      </c>
    </row>
    <row r="11" spans="1:13" ht="12">
      <c r="A11" s="9" t="s">
        <v>11</v>
      </c>
      <c r="B11" s="8">
        <v>473576.539</v>
      </c>
      <c r="C11" s="8">
        <v>511121.03599999996</v>
      </c>
      <c r="D11" s="8">
        <v>547032.083</v>
      </c>
      <c r="E11" s="8">
        <v>594842.943</v>
      </c>
      <c r="F11" s="8">
        <v>598479.7590000001</v>
      </c>
      <c r="G11" s="17">
        <v>624775.14</v>
      </c>
      <c r="H11" s="17">
        <f t="shared" si="0"/>
        <v>646192.414</v>
      </c>
      <c r="I11" s="17">
        <f t="shared" si="0"/>
        <v>644636.1699999999</v>
      </c>
      <c r="J11" s="17">
        <f t="shared" si="0"/>
        <v>651107.797</v>
      </c>
      <c r="K11" s="17">
        <f t="shared" si="0"/>
        <v>710086.382</v>
      </c>
      <c r="L11" s="17">
        <f t="shared" si="0"/>
        <v>673727.907</v>
      </c>
      <c r="M11" s="17">
        <v>522644.414</v>
      </c>
    </row>
    <row r="12" spans="1:13" ht="22.5">
      <c r="A12" s="18" t="s">
        <v>12</v>
      </c>
      <c r="B12" s="5">
        <v>234949.279</v>
      </c>
      <c r="C12" s="5">
        <v>254448.14899999998</v>
      </c>
      <c r="D12" s="5">
        <v>264909.434</v>
      </c>
      <c r="E12" s="5">
        <v>262335.958</v>
      </c>
      <c r="F12" s="5">
        <v>254786.36700000003</v>
      </c>
      <c r="G12" s="20">
        <v>256872.568</v>
      </c>
      <c r="H12" s="20">
        <v>270946.811</v>
      </c>
      <c r="I12" s="20">
        <v>288222.071</v>
      </c>
      <c r="J12" s="20">
        <v>300634.363</v>
      </c>
      <c r="K12" s="20">
        <v>339000.497</v>
      </c>
      <c r="L12" s="20">
        <v>339068.414</v>
      </c>
      <c r="M12" s="20">
        <v>279517.70499999996</v>
      </c>
    </row>
    <row r="13" spans="1:13" ht="12">
      <c r="A13" s="7" t="s">
        <v>6</v>
      </c>
      <c r="B13" s="8"/>
      <c r="C13" s="8"/>
      <c r="D13" s="8"/>
      <c r="E13" s="8"/>
      <c r="F13" s="8"/>
      <c r="G13" s="17"/>
      <c r="H13" s="17"/>
      <c r="I13" s="17"/>
      <c r="J13" s="17"/>
      <c r="K13" s="17"/>
      <c r="L13" s="17"/>
      <c r="M13" s="17"/>
    </row>
    <row r="14" spans="1:13" ht="12">
      <c r="A14" s="9" t="s">
        <v>7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</row>
    <row r="15" spans="1:13" ht="12">
      <c r="A15" s="9" t="s">
        <v>8</v>
      </c>
      <c r="B15" s="8">
        <v>234949.279</v>
      </c>
      <c r="C15" s="8">
        <v>254448.14899999998</v>
      </c>
      <c r="D15" s="8">
        <v>264909.434</v>
      </c>
      <c r="E15" s="8">
        <v>262335.958</v>
      </c>
      <c r="F15" s="8">
        <v>254786.36700000003</v>
      </c>
      <c r="G15" s="17">
        <v>256872.568</v>
      </c>
      <c r="H15" s="17">
        <v>270946.811</v>
      </c>
      <c r="I15" s="17">
        <v>288222.071</v>
      </c>
      <c r="J15" s="17">
        <v>300634.363</v>
      </c>
      <c r="K15" s="17">
        <v>339000.497</v>
      </c>
      <c r="L15" s="17">
        <v>339068.414</v>
      </c>
      <c r="M15" s="17">
        <v>279517.70499999996</v>
      </c>
    </row>
    <row r="16" spans="1:13" ht="12">
      <c r="A16" s="9" t="s">
        <v>13</v>
      </c>
      <c r="B16" s="8"/>
      <c r="C16" s="8"/>
      <c r="D16" s="8"/>
      <c r="E16" s="8"/>
      <c r="F16" s="8"/>
      <c r="G16" s="17"/>
      <c r="H16" s="17"/>
      <c r="I16" s="17"/>
      <c r="J16" s="17"/>
      <c r="K16" s="17"/>
      <c r="L16" s="17"/>
      <c r="M16" s="17"/>
    </row>
    <row r="17" spans="1:13" ht="12">
      <c r="A17" s="9" t="s">
        <v>10</v>
      </c>
      <c r="B17" s="8">
        <v>116484.267</v>
      </c>
      <c r="C17" s="8">
        <v>116772.972</v>
      </c>
      <c r="D17" s="8">
        <v>116623.198</v>
      </c>
      <c r="E17" s="8">
        <v>116524.551</v>
      </c>
      <c r="F17" s="8">
        <v>116490.379</v>
      </c>
      <c r="G17" s="17">
        <v>116538.25</v>
      </c>
      <c r="H17" s="17">
        <v>122902.141</v>
      </c>
      <c r="I17" s="17">
        <v>125311.045</v>
      </c>
      <c r="J17" s="17">
        <v>125799.735</v>
      </c>
      <c r="K17" s="17">
        <v>126328.231</v>
      </c>
      <c r="L17" s="17">
        <v>127799.392</v>
      </c>
      <c r="M17" s="17">
        <v>122277.964</v>
      </c>
    </row>
    <row r="18" spans="1:13" ht="12">
      <c r="A18" s="9" t="s">
        <v>11</v>
      </c>
      <c r="B18" s="8">
        <v>118465.012</v>
      </c>
      <c r="C18" s="8">
        <v>137675.177</v>
      </c>
      <c r="D18" s="8">
        <v>148286.23599999998</v>
      </c>
      <c r="E18" s="8">
        <v>145811.407</v>
      </c>
      <c r="F18" s="8">
        <v>138295.988</v>
      </c>
      <c r="G18" s="17">
        <v>140334.318</v>
      </c>
      <c r="H18" s="17">
        <v>148044.67</v>
      </c>
      <c r="I18" s="17">
        <v>162911.02599999998</v>
      </c>
      <c r="J18" s="17">
        <v>174834.628</v>
      </c>
      <c r="K18" s="17">
        <v>212672.26599999997</v>
      </c>
      <c r="L18" s="17">
        <v>211269.022</v>
      </c>
      <c r="M18" s="17">
        <v>157239.74099999998</v>
      </c>
    </row>
    <row r="19" spans="1:13" ht="22.5">
      <c r="A19" s="18" t="s">
        <v>14</v>
      </c>
      <c r="B19" s="5">
        <v>417604.536</v>
      </c>
      <c r="C19" s="5">
        <v>436561.132</v>
      </c>
      <c r="D19" s="5">
        <v>462077.443</v>
      </c>
      <c r="E19" s="5">
        <v>512537.514</v>
      </c>
      <c r="F19" s="5">
        <v>523686.079</v>
      </c>
      <c r="G19" s="20">
        <v>547939.554</v>
      </c>
      <c r="H19" s="20">
        <f>H21+H22</f>
        <v>549196.9870000001</v>
      </c>
      <c r="I19" s="20">
        <f>I21+I22</f>
        <v>530393.612</v>
      </c>
      <c r="J19" s="20">
        <f>J21+J22</f>
        <v>524939.618</v>
      </c>
      <c r="K19" s="20">
        <f>K21+K22</f>
        <v>545227.253</v>
      </c>
      <c r="L19" s="20">
        <f>L21+L22</f>
        <v>508793.17600000004</v>
      </c>
      <c r="M19" s="20">
        <v>392403.56200000003</v>
      </c>
    </row>
    <row r="20" spans="1:13" ht="12">
      <c r="A20" s="9" t="s">
        <v>6</v>
      </c>
      <c r="B20" s="8"/>
      <c r="C20" s="8"/>
      <c r="D20" s="8"/>
      <c r="E20" s="8"/>
      <c r="F20" s="8"/>
      <c r="G20" s="17"/>
      <c r="H20" s="17"/>
      <c r="I20" s="17"/>
      <c r="J20" s="17"/>
      <c r="K20" s="17"/>
      <c r="L20" s="17"/>
      <c r="M20" s="17"/>
    </row>
    <row r="21" spans="1:13" ht="12">
      <c r="A21" s="9" t="s">
        <v>7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22">
        <v>0</v>
      </c>
      <c r="H21" s="22">
        <v>25601.925</v>
      </c>
      <c r="I21" s="22">
        <v>23943.895</v>
      </c>
      <c r="J21" s="22">
        <v>23943.895</v>
      </c>
      <c r="K21" s="22">
        <v>23373.435</v>
      </c>
      <c r="L21" s="22">
        <v>22656.792</v>
      </c>
      <c r="M21" s="22">
        <v>0</v>
      </c>
    </row>
    <row r="22" spans="1:13" ht="12">
      <c r="A22" s="9" t="s">
        <v>8</v>
      </c>
      <c r="B22" s="8">
        <v>417604.536</v>
      </c>
      <c r="C22" s="8">
        <v>436561.132</v>
      </c>
      <c r="D22" s="8">
        <v>462077.443</v>
      </c>
      <c r="E22" s="8">
        <v>512537.514</v>
      </c>
      <c r="F22" s="8">
        <v>523686.079</v>
      </c>
      <c r="G22" s="17">
        <v>547939.554</v>
      </c>
      <c r="H22" s="17">
        <f>H24+H25</f>
        <v>523595.06200000003</v>
      </c>
      <c r="I22" s="17">
        <f>I24+I25</f>
        <v>506449.71699999995</v>
      </c>
      <c r="J22" s="17">
        <f>J24+J25</f>
        <v>500995.72300000006</v>
      </c>
      <c r="K22" s="17">
        <f>K24+K25</f>
        <v>521853.81799999997</v>
      </c>
      <c r="L22" s="17">
        <f>L24+L25</f>
        <v>486136.384</v>
      </c>
      <c r="M22" s="17">
        <v>392403.56200000003</v>
      </c>
    </row>
    <row r="23" spans="1:13" ht="12">
      <c r="A23" s="9" t="s">
        <v>13</v>
      </c>
      <c r="B23" s="8"/>
      <c r="C23" s="8"/>
      <c r="D23" s="8"/>
      <c r="E23" s="8"/>
      <c r="F23" s="8"/>
      <c r="G23" s="17"/>
      <c r="H23" s="17"/>
      <c r="I23" s="17"/>
      <c r="J23" s="17"/>
      <c r="K23" s="17"/>
      <c r="L23" s="17"/>
      <c r="M23" s="17"/>
    </row>
    <row r="24" spans="1:13" ht="12">
      <c r="A24" s="9" t="s">
        <v>10</v>
      </c>
      <c r="B24" s="8">
        <v>62493.009</v>
      </c>
      <c r="C24" s="8">
        <v>63115.273</v>
      </c>
      <c r="D24" s="8">
        <v>63331.596</v>
      </c>
      <c r="E24" s="8">
        <v>63505.978</v>
      </c>
      <c r="F24" s="8">
        <v>63502.308</v>
      </c>
      <c r="G24" s="17">
        <v>63498.732</v>
      </c>
      <c r="H24" s="17">
        <v>25447.318</v>
      </c>
      <c r="I24" s="17">
        <v>24724.573</v>
      </c>
      <c r="J24" s="17">
        <v>24722.554</v>
      </c>
      <c r="K24" s="17">
        <v>24439.702</v>
      </c>
      <c r="L24" s="17">
        <v>23677.499</v>
      </c>
      <c r="M24" s="17">
        <v>26998.889</v>
      </c>
    </row>
    <row r="25" spans="1:13" ht="12">
      <c r="A25" s="9" t="s">
        <v>11</v>
      </c>
      <c r="B25" s="8">
        <v>355111.527</v>
      </c>
      <c r="C25" s="8">
        <v>373445.859</v>
      </c>
      <c r="D25" s="8">
        <v>398745.847</v>
      </c>
      <c r="E25" s="8">
        <v>449031.536</v>
      </c>
      <c r="F25" s="8">
        <v>460183.771</v>
      </c>
      <c r="G25" s="17">
        <v>484440.82200000004</v>
      </c>
      <c r="H25" s="17">
        <v>498147.744</v>
      </c>
      <c r="I25" s="17">
        <v>481725.144</v>
      </c>
      <c r="J25" s="17">
        <v>476273.16900000005</v>
      </c>
      <c r="K25" s="17">
        <v>497414.116</v>
      </c>
      <c r="L25" s="17">
        <v>462458.885</v>
      </c>
      <c r="M25" s="17">
        <v>365404.673</v>
      </c>
    </row>
    <row r="26" spans="1:13" ht="12">
      <c r="A26" s="26" t="s">
        <v>15</v>
      </c>
      <c r="B26" s="13"/>
      <c r="C26" s="13"/>
      <c r="D26" s="13"/>
      <c r="E26" s="13"/>
      <c r="F26" s="13"/>
      <c r="G26" s="23"/>
      <c r="H26" s="23"/>
      <c r="I26" s="23"/>
      <c r="J26" s="23"/>
      <c r="K26" s="23"/>
      <c r="L26" s="23"/>
      <c r="M26" s="23"/>
    </row>
    <row r="27" spans="1:13" ht="22.5">
      <c r="A27" s="4" t="s">
        <v>16</v>
      </c>
      <c r="B27" s="1">
        <v>32337.335</v>
      </c>
      <c r="C27" s="1">
        <v>34293.445999999996</v>
      </c>
      <c r="D27" s="1">
        <v>34178.214</v>
      </c>
      <c r="E27" s="1">
        <f>E29+E30</f>
        <v>35313.784</v>
      </c>
      <c r="F27" s="1">
        <v>35460.001000000004</v>
      </c>
      <c r="G27" s="20">
        <v>36488.951</v>
      </c>
      <c r="H27" s="20">
        <v>36114.524000000005</v>
      </c>
      <c r="I27" s="20">
        <v>36258.126</v>
      </c>
      <c r="J27" s="20">
        <v>36020.397</v>
      </c>
      <c r="K27" s="20">
        <v>35005.146</v>
      </c>
      <c r="L27" s="20">
        <v>34879.244</v>
      </c>
      <c r="M27" s="20">
        <v>35170.691</v>
      </c>
    </row>
    <row r="28" spans="1:13" ht="12">
      <c r="A28" s="11" t="s">
        <v>6</v>
      </c>
      <c r="B28" s="8"/>
      <c r="C28" s="8"/>
      <c r="D28" s="8"/>
      <c r="E28" s="8"/>
      <c r="F28" s="8"/>
      <c r="G28" s="17"/>
      <c r="H28" s="17"/>
      <c r="I28" s="17"/>
      <c r="J28" s="17"/>
      <c r="K28" s="17"/>
      <c r="L28" s="17"/>
      <c r="M28" s="17"/>
    </row>
    <row r="29" spans="1:13" ht="22.5">
      <c r="A29" s="12" t="s">
        <v>17</v>
      </c>
      <c r="B29" s="15">
        <v>19559.273</v>
      </c>
      <c r="C29" s="15">
        <v>21165.139</v>
      </c>
      <c r="D29" s="15">
        <v>21271.698</v>
      </c>
      <c r="E29" s="15">
        <v>22545.971</v>
      </c>
      <c r="F29" s="15">
        <v>22624.932</v>
      </c>
      <c r="G29" s="25">
        <v>23350.428</v>
      </c>
      <c r="H29" s="25">
        <v>22723.222</v>
      </c>
      <c r="I29" s="25">
        <v>22911.027</v>
      </c>
      <c r="J29" s="25">
        <v>22708.091</v>
      </c>
      <c r="K29" s="25">
        <v>21957.124</v>
      </c>
      <c r="L29" s="25">
        <v>22120.93</v>
      </c>
      <c r="M29" s="25">
        <v>22817.066</v>
      </c>
    </row>
    <row r="30" spans="1:13" ht="12">
      <c r="A30" s="12" t="s">
        <v>28</v>
      </c>
      <c r="B30" s="15">
        <v>12778.062</v>
      </c>
      <c r="C30" s="15">
        <v>13128.307</v>
      </c>
      <c r="D30" s="15">
        <v>12906.516</v>
      </c>
      <c r="E30" s="15">
        <v>12767.813</v>
      </c>
      <c r="F30" s="15">
        <v>12835.069</v>
      </c>
      <c r="G30" s="25">
        <v>13138.523</v>
      </c>
      <c r="H30" s="25">
        <v>13391.302</v>
      </c>
      <c r="I30" s="25">
        <v>13347.099</v>
      </c>
      <c r="J30" s="25">
        <v>13312.306</v>
      </c>
      <c r="K30" s="25">
        <v>13048.022</v>
      </c>
      <c r="L30" s="25">
        <v>12758.314</v>
      </c>
      <c r="M30" s="25">
        <v>12353.625</v>
      </c>
    </row>
  </sheetData>
  <sheetProtection/>
  <mergeCells count="3">
    <mergeCell ref="B3:M3"/>
    <mergeCell ref="A1:M1"/>
    <mergeCell ref="A2:M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30"/>
  <sheetViews>
    <sheetView zoomScale="90" zoomScaleNormal="90" zoomScaleSheetLayoutView="100" zoomScalePageLayoutView="0" workbookViewId="0" topLeftCell="A1">
      <pane xSplit="1" ySplit="5" topLeftCell="B6" activePane="bottomRight" state="frozen"/>
      <selection pane="topLeft" activeCell="B3" sqref="B3:G3"/>
      <selection pane="topRight" activeCell="B3" sqref="B3:G3"/>
      <selection pane="bottomLeft" activeCell="B3" sqref="B3:G3"/>
      <selection pane="bottomRight" activeCell="F29" sqref="F29"/>
    </sheetView>
  </sheetViews>
  <sheetFormatPr defaultColWidth="9.00390625" defaultRowHeight="12.75"/>
  <cols>
    <col min="1" max="1" width="29.00390625" style="0" customWidth="1"/>
    <col min="2" max="2" width="10.75390625" style="0" customWidth="1"/>
    <col min="3" max="3" width="9.50390625" style="0" bestFit="1" customWidth="1"/>
    <col min="4" max="4" width="10.25390625" style="0" customWidth="1"/>
    <col min="5" max="5" width="9.75390625" style="0" bestFit="1" customWidth="1"/>
    <col min="6" max="6" width="11.00390625" style="0" customWidth="1"/>
    <col min="7" max="12" width="9.75390625" style="0" bestFit="1" customWidth="1"/>
    <col min="13" max="13" width="11.75390625" style="0" customWidth="1"/>
  </cols>
  <sheetData>
    <row r="1" spans="1:13" ht="15">
      <c r="A1" s="93" t="s">
        <v>33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2.75">
      <c r="A2" s="94" t="s">
        <v>31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2">
      <c r="A3" s="2" t="s">
        <v>0</v>
      </c>
      <c r="B3" s="90">
        <v>2002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12">
      <c r="A4" s="2" t="s">
        <v>1</v>
      </c>
      <c r="B4" s="3" t="s">
        <v>2</v>
      </c>
      <c r="C4" s="3" t="s">
        <v>3</v>
      </c>
      <c r="D4" s="3" t="s">
        <v>4</v>
      </c>
      <c r="E4" s="3" t="s">
        <v>19</v>
      </c>
      <c r="F4" s="3" t="s">
        <v>18</v>
      </c>
      <c r="G4" s="19" t="s">
        <v>20</v>
      </c>
      <c r="H4" s="19" t="s">
        <v>21</v>
      </c>
      <c r="I4" s="19" t="s">
        <v>22</v>
      </c>
      <c r="J4" s="19" t="s">
        <v>23</v>
      </c>
      <c r="K4" s="19" t="s">
        <v>24</v>
      </c>
      <c r="L4" s="19" t="s">
        <v>25</v>
      </c>
      <c r="M4" s="19" t="s">
        <v>26</v>
      </c>
    </row>
    <row r="5" spans="1:13" ht="12">
      <c r="A5" s="4" t="s">
        <v>5</v>
      </c>
      <c r="B5" s="5">
        <v>631807</v>
      </c>
      <c r="C5" s="5">
        <v>626752</v>
      </c>
      <c r="D5" s="5">
        <v>641176</v>
      </c>
      <c r="E5" s="5">
        <v>671890</v>
      </c>
      <c r="F5" s="5">
        <v>628923</v>
      </c>
      <c r="G5" s="20">
        <v>628628</v>
      </c>
      <c r="H5" s="20">
        <v>643039</v>
      </c>
      <c r="I5" s="20">
        <v>675012</v>
      </c>
      <c r="J5" s="20">
        <v>592396</v>
      </c>
      <c r="K5" s="20">
        <v>609758</v>
      </c>
      <c r="L5" s="20">
        <v>633926</v>
      </c>
      <c r="M5" s="20">
        <v>633096.754</v>
      </c>
    </row>
    <row r="6" spans="1:13" ht="12">
      <c r="A6" s="6" t="s">
        <v>6</v>
      </c>
      <c r="B6" s="14"/>
      <c r="C6" s="14"/>
      <c r="D6" s="14"/>
      <c r="E6" s="14"/>
      <c r="F6" s="14"/>
      <c r="G6" s="21"/>
      <c r="H6" s="21"/>
      <c r="I6" s="21"/>
      <c r="J6" s="21"/>
      <c r="K6" s="21"/>
      <c r="L6" s="21"/>
      <c r="M6" s="21"/>
    </row>
    <row r="7" spans="1:13" ht="12">
      <c r="A7" s="7" t="s">
        <v>7</v>
      </c>
      <c r="B7" s="8">
        <v>299</v>
      </c>
      <c r="C7" s="8">
        <v>299</v>
      </c>
      <c r="D7" s="8">
        <v>299</v>
      </c>
      <c r="E7" s="8">
        <v>299</v>
      </c>
      <c r="F7" s="8">
        <v>299</v>
      </c>
      <c r="G7" s="17">
        <v>299</v>
      </c>
      <c r="H7" s="17">
        <v>299</v>
      </c>
      <c r="I7" s="17">
        <v>299</v>
      </c>
      <c r="J7" s="17">
        <v>299</v>
      </c>
      <c r="K7" s="17">
        <v>299</v>
      </c>
      <c r="L7" s="17">
        <v>299</v>
      </c>
      <c r="M7" s="17">
        <v>0</v>
      </c>
    </row>
    <row r="8" spans="1:13" ht="12">
      <c r="A8" s="9" t="s">
        <v>8</v>
      </c>
      <c r="B8" s="8">
        <v>631508</v>
      </c>
      <c r="C8" s="8">
        <v>626453</v>
      </c>
      <c r="D8" s="8">
        <v>640877</v>
      </c>
      <c r="E8" s="8">
        <v>671591</v>
      </c>
      <c r="F8" s="8">
        <v>628624</v>
      </c>
      <c r="G8" s="17">
        <v>628329</v>
      </c>
      <c r="H8" s="17">
        <v>642740</v>
      </c>
      <c r="I8" s="17">
        <v>674713</v>
      </c>
      <c r="J8" s="17">
        <v>592097</v>
      </c>
      <c r="K8" s="17">
        <v>609459</v>
      </c>
      <c r="L8" s="17">
        <v>633627</v>
      </c>
      <c r="M8" s="17">
        <v>633096.754</v>
      </c>
    </row>
    <row r="9" spans="1:13" ht="12">
      <c r="A9" s="9" t="s">
        <v>9</v>
      </c>
      <c r="B9" s="8"/>
      <c r="C9" s="8"/>
      <c r="D9" s="8"/>
      <c r="E9" s="8"/>
      <c r="F9" s="8"/>
      <c r="G9" s="17"/>
      <c r="H9" s="17"/>
      <c r="I9" s="17"/>
      <c r="J9" s="17"/>
      <c r="K9" s="17"/>
      <c r="L9" s="17"/>
      <c r="M9" s="17"/>
    </row>
    <row r="10" spans="1:13" ht="12">
      <c r="A10" s="9" t="s">
        <v>10</v>
      </c>
      <c r="B10" s="8">
        <v>223074</v>
      </c>
      <c r="C10" s="8">
        <v>178843</v>
      </c>
      <c r="D10" s="8">
        <v>173347</v>
      </c>
      <c r="E10" s="8">
        <v>173673</v>
      </c>
      <c r="F10" s="8">
        <v>174822</v>
      </c>
      <c r="G10" s="17">
        <v>169990</v>
      </c>
      <c r="H10" s="17">
        <v>163393</v>
      </c>
      <c r="I10" s="17">
        <v>167862</v>
      </c>
      <c r="J10" s="17">
        <v>172552</v>
      </c>
      <c r="K10" s="17">
        <v>174414</v>
      </c>
      <c r="L10" s="17">
        <v>177071</v>
      </c>
      <c r="M10" s="17">
        <v>178397.198</v>
      </c>
    </row>
    <row r="11" spans="1:13" ht="12">
      <c r="A11" s="9" t="s">
        <v>11</v>
      </c>
      <c r="B11" s="8">
        <v>408434</v>
      </c>
      <c r="C11" s="8">
        <v>447610</v>
      </c>
      <c r="D11" s="8">
        <v>467530</v>
      </c>
      <c r="E11" s="8">
        <v>497918</v>
      </c>
      <c r="F11" s="8">
        <v>453802</v>
      </c>
      <c r="G11" s="17">
        <v>458339</v>
      </c>
      <c r="H11" s="17">
        <v>479347</v>
      </c>
      <c r="I11" s="17">
        <v>506851</v>
      </c>
      <c r="J11" s="17">
        <v>419545</v>
      </c>
      <c r="K11" s="17">
        <v>435045</v>
      </c>
      <c r="L11" s="17">
        <v>456556</v>
      </c>
      <c r="M11" s="17">
        <v>454699.556</v>
      </c>
    </row>
    <row r="12" spans="1:13" ht="22.5">
      <c r="A12" s="18" t="s">
        <v>12</v>
      </c>
      <c r="B12" s="5">
        <v>128470</v>
      </c>
      <c r="C12" s="5">
        <v>150031</v>
      </c>
      <c r="D12" s="5">
        <v>149333</v>
      </c>
      <c r="E12" s="5">
        <v>170930</v>
      </c>
      <c r="F12" s="5">
        <v>167857</v>
      </c>
      <c r="G12" s="20">
        <v>165775</v>
      </c>
      <c r="H12" s="20">
        <v>168807</v>
      </c>
      <c r="I12" s="20">
        <v>167243</v>
      </c>
      <c r="J12" s="20">
        <v>158679</v>
      </c>
      <c r="K12" s="20">
        <v>161869</v>
      </c>
      <c r="L12" s="20">
        <v>167566</v>
      </c>
      <c r="M12" s="20">
        <v>235579.312</v>
      </c>
    </row>
    <row r="13" spans="1:13" ht="12">
      <c r="A13" s="7" t="s">
        <v>6</v>
      </c>
      <c r="B13" s="8"/>
      <c r="C13" s="8"/>
      <c r="D13" s="8"/>
      <c r="E13" s="8"/>
      <c r="F13" s="8"/>
      <c r="G13" s="17"/>
      <c r="H13" s="17"/>
      <c r="I13" s="17"/>
      <c r="J13" s="17"/>
      <c r="K13" s="17"/>
      <c r="L13" s="17"/>
      <c r="M13" s="17"/>
    </row>
    <row r="14" spans="1:13" ht="12">
      <c r="A14" s="9" t="s">
        <v>7</v>
      </c>
      <c r="B14" s="8">
        <v>299</v>
      </c>
      <c r="C14" s="8">
        <v>299</v>
      </c>
      <c r="D14" s="8">
        <v>299</v>
      </c>
      <c r="E14" s="8">
        <v>299</v>
      </c>
      <c r="F14" s="8">
        <v>299</v>
      </c>
      <c r="G14" s="17">
        <v>299</v>
      </c>
      <c r="H14" s="17">
        <v>299</v>
      </c>
      <c r="I14" s="17">
        <v>299</v>
      </c>
      <c r="J14" s="17">
        <v>299</v>
      </c>
      <c r="K14" s="17">
        <v>299</v>
      </c>
      <c r="L14" s="17">
        <v>299</v>
      </c>
      <c r="M14" s="17">
        <v>0</v>
      </c>
    </row>
    <row r="15" spans="1:13" ht="12">
      <c r="A15" s="9" t="s">
        <v>8</v>
      </c>
      <c r="B15" s="8">
        <v>128171</v>
      </c>
      <c r="C15" s="8">
        <v>149732</v>
      </c>
      <c r="D15" s="8">
        <v>149034</v>
      </c>
      <c r="E15" s="8">
        <v>170631</v>
      </c>
      <c r="F15" s="8">
        <v>167558</v>
      </c>
      <c r="G15" s="17">
        <v>165476</v>
      </c>
      <c r="H15" s="17">
        <v>168508</v>
      </c>
      <c r="I15" s="17">
        <v>166944</v>
      </c>
      <c r="J15" s="17">
        <v>158380</v>
      </c>
      <c r="K15" s="17">
        <v>161570</v>
      </c>
      <c r="L15" s="17">
        <v>167267</v>
      </c>
      <c r="M15" s="17">
        <v>235579.312</v>
      </c>
    </row>
    <row r="16" spans="1:13" ht="12">
      <c r="A16" s="9" t="s">
        <v>13</v>
      </c>
      <c r="B16" s="8"/>
      <c r="C16" s="8"/>
      <c r="D16" s="8"/>
      <c r="E16" s="8"/>
      <c r="F16" s="8"/>
      <c r="G16" s="17"/>
      <c r="H16" s="17"/>
      <c r="I16" s="17"/>
      <c r="J16" s="17"/>
      <c r="K16" s="17"/>
      <c r="L16" s="17"/>
      <c r="M16" s="17"/>
    </row>
    <row r="17" spans="1:13" ht="12">
      <c r="A17" s="9" t="s">
        <v>10</v>
      </c>
      <c r="B17" s="8">
        <v>17859</v>
      </c>
      <c r="C17" s="8">
        <v>24173</v>
      </c>
      <c r="D17" s="8">
        <v>25654</v>
      </c>
      <c r="E17" s="8">
        <v>41534</v>
      </c>
      <c r="F17" s="8">
        <v>41633</v>
      </c>
      <c r="G17" s="17">
        <v>42122</v>
      </c>
      <c r="H17" s="17">
        <v>35142</v>
      </c>
      <c r="I17" s="17">
        <v>33956</v>
      </c>
      <c r="J17" s="17">
        <v>34904</v>
      </c>
      <c r="K17" s="17">
        <v>35479</v>
      </c>
      <c r="L17" s="17">
        <v>36081</v>
      </c>
      <c r="M17" s="17">
        <v>116127.051</v>
      </c>
    </row>
    <row r="18" spans="1:13" ht="12">
      <c r="A18" s="9" t="s">
        <v>11</v>
      </c>
      <c r="B18" s="8">
        <v>110312</v>
      </c>
      <c r="C18" s="8">
        <v>125559</v>
      </c>
      <c r="D18" s="8">
        <v>123380</v>
      </c>
      <c r="E18" s="8">
        <v>129097</v>
      </c>
      <c r="F18" s="8">
        <v>125925</v>
      </c>
      <c r="G18" s="17">
        <v>123354</v>
      </c>
      <c r="H18" s="17">
        <v>133366</v>
      </c>
      <c r="I18" s="17">
        <v>132988</v>
      </c>
      <c r="J18" s="17">
        <v>123476</v>
      </c>
      <c r="K18" s="17">
        <v>126091</v>
      </c>
      <c r="L18" s="17">
        <v>131186</v>
      </c>
      <c r="M18" s="17">
        <v>119452.261</v>
      </c>
    </row>
    <row r="19" spans="1:13" ht="22.5">
      <c r="A19" s="18" t="s">
        <v>14</v>
      </c>
      <c r="B19" s="5">
        <v>503337</v>
      </c>
      <c r="C19" s="5">
        <v>476721</v>
      </c>
      <c r="D19" s="5">
        <v>491843</v>
      </c>
      <c r="E19" s="5">
        <v>500960</v>
      </c>
      <c r="F19" s="5">
        <v>461066</v>
      </c>
      <c r="G19" s="20">
        <v>462853</v>
      </c>
      <c r="H19" s="20">
        <v>474232</v>
      </c>
      <c r="I19" s="20">
        <v>507769</v>
      </c>
      <c r="J19" s="20">
        <v>433717</v>
      </c>
      <c r="K19" s="20">
        <v>447889</v>
      </c>
      <c r="L19" s="20">
        <v>466360</v>
      </c>
      <c r="M19" s="20">
        <v>397517.442</v>
      </c>
    </row>
    <row r="20" spans="1:13" ht="12">
      <c r="A20" s="9" t="s">
        <v>6</v>
      </c>
      <c r="B20" s="8"/>
      <c r="C20" s="8"/>
      <c r="D20" s="8"/>
      <c r="E20" s="8"/>
      <c r="F20" s="8"/>
      <c r="G20" s="17"/>
      <c r="H20" s="17"/>
      <c r="I20" s="17"/>
      <c r="J20" s="17"/>
      <c r="K20" s="17"/>
      <c r="L20" s="17"/>
      <c r="M20" s="17"/>
    </row>
    <row r="21" spans="1:13" ht="12">
      <c r="A21" s="9" t="s">
        <v>7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</row>
    <row r="22" spans="1:13" ht="12">
      <c r="A22" s="9" t="s">
        <v>8</v>
      </c>
      <c r="B22" s="8">
        <v>503337</v>
      </c>
      <c r="C22" s="8">
        <v>476721</v>
      </c>
      <c r="D22" s="8">
        <v>491843</v>
      </c>
      <c r="E22" s="8">
        <v>500960</v>
      </c>
      <c r="F22" s="8">
        <v>461066</v>
      </c>
      <c r="G22" s="17">
        <v>462853</v>
      </c>
      <c r="H22" s="17">
        <v>474232</v>
      </c>
      <c r="I22" s="17">
        <v>507769</v>
      </c>
      <c r="J22" s="17">
        <v>433717</v>
      </c>
      <c r="K22" s="17">
        <v>447889</v>
      </c>
      <c r="L22" s="17">
        <v>466360</v>
      </c>
      <c r="M22" s="17">
        <v>397517.442</v>
      </c>
    </row>
    <row r="23" spans="1:13" ht="12">
      <c r="A23" s="9" t="s">
        <v>13</v>
      </c>
      <c r="B23" s="8"/>
      <c r="C23" s="8"/>
      <c r="D23" s="8"/>
      <c r="E23" s="8"/>
      <c r="F23" s="8"/>
      <c r="G23" s="17"/>
      <c r="H23" s="17"/>
      <c r="I23" s="17"/>
      <c r="J23" s="17"/>
      <c r="K23" s="17"/>
      <c r="L23" s="17"/>
      <c r="M23" s="17"/>
    </row>
    <row r="24" spans="1:13" ht="12">
      <c r="A24" s="9" t="s">
        <v>10</v>
      </c>
      <c r="B24" s="8">
        <v>205215</v>
      </c>
      <c r="C24" s="8">
        <v>154670</v>
      </c>
      <c r="D24" s="8">
        <v>147693</v>
      </c>
      <c r="E24" s="8">
        <v>132139</v>
      </c>
      <c r="F24" s="8">
        <v>133189</v>
      </c>
      <c r="G24" s="17">
        <v>127868</v>
      </c>
      <c r="H24" s="17">
        <v>128251</v>
      </c>
      <c r="I24" s="17">
        <v>133906</v>
      </c>
      <c r="J24" s="17">
        <v>137648</v>
      </c>
      <c r="K24" s="17">
        <v>138935</v>
      </c>
      <c r="L24" s="17">
        <v>140990</v>
      </c>
      <c r="M24" s="17">
        <v>62270.147</v>
      </c>
    </row>
    <row r="25" spans="1:13" ht="12">
      <c r="A25" s="9" t="s">
        <v>11</v>
      </c>
      <c r="B25" s="8">
        <v>298122</v>
      </c>
      <c r="C25" s="8">
        <v>322051</v>
      </c>
      <c r="D25" s="8">
        <v>344150</v>
      </c>
      <c r="E25" s="8">
        <v>368821</v>
      </c>
      <c r="F25" s="8">
        <v>327877</v>
      </c>
      <c r="G25" s="17">
        <v>334985</v>
      </c>
      <c r="H25" s="17">
        <v>345981</v>
      </c>
      <c r="I25" s="17">
        <v>373863</v>
      </c>
      <c r="J25" s="17">
        <v>296069</v>
      </c>
      <c r="K25" s="17">
        <v>308954</v>
      </c>
      <c r="L25" s="17">
        <v>325370</v>
      </c>
      <c r="M25" s="17">
        <v>335247.295</v>
      </c>
    </row>
    <row r="26" spans="1:13" ht="12">
      <c r="A26" s="26" t="s">
        <v>15</v>
      </c>
      <c r="B26" s="13"/>
      <c r="C26" s="13"/>
      <c r="D26" s="13"/>
      <c r="E26" s="13"/>
      <c r="F26" s="13"/>
      <c r="G26" s="23"/>
      <c r="H26" s="23"/>
      <c r="I26" s="23"/>
      <c r="J26" s="23"/>
      <c r="K26" s="23"/>
      <c r="L26" s="23"/>
      <c r="M26" s="23"/>
    </row>
    <row r="27" spans="1:13" ht="22.5">
      <c r="A27" s="4" t="s">
        <v>16</v>
      </c>
      <c r="B27" s="1">
        <v>21594</v>
      </c>
      <c r="C27" s="1">
        <v>22707</v>
      </c>
      <c r="D27" s="1">
        <v>23778</v>
      </c>
      <c r="E27" s="1">
        <v>22578</v>
      </c>
      <c r="F27" s="1">
        <v>23357</v>
      </c>
      <c r="G27" s="20">
        <v>23592</v>
      </c>
      <c r="H27" s="20">
        <v>22727</v>
      </c>
      <c r="I27" s="20">
        <v>23180</v>
      </c>
      <c r="J27" s="20">
        <v>30561</v>
      </c>
      <c r="K27" s="20">
        <v>33095</v>
      </c>
      <c r="L27" s="20">
        <v>32196</v>
      </c>
      <c r="M27" s="20">
        <v>32199</v>
      </c>
    </row>
    <row r="28" spans="1:13" ht="12">
      <c r="A28" s="11" t="s">
        <v>6</v>
      </c>
      <c r="B28" s="8"/>
      <c r="C28" s="8"/>
      <c r="D28" s="8"/>
      <c r="E28" s="8"/>
      <c r="F28" s="8"/>
      <c r="G28" s="17"/>
      <c r="H28" s="17"/>
      <c r="I28" s="17"/>
      <c r="J28" s="17"/>
      <c r="K28" s="17"/>
      <c r="L28" s="17"/>
      <c r="M28" s="17"/>
    </row>
    <row r="29" spans="1:13" ht="22.5">
      <c r="A29" s="12" t="s">
        <v>17</v>
      </c>
      <c r="B29" s="15">
        <v>10109</v>
      </c>
      <c r="C29" s="15">
        <v>10119</v>
      </c>
      <c r="D29" s="15">
        <v>9854</v>
      </c>
      <c r="E29" s="15">
        <v>9598</v>
      </c>
      <c r="F29" s="15">
        <v>10108</v>
      </c>
      <c r="G29" s="25">
        <v>10564</v>
      </c>
      <c r="H29" s="25">
        <v>10350</v>
      </c>
      <c r="I29" s="25">
        <v>10399</v>
      </c>
      <c r="J29" s="25">
        <v>18157</v>
      </c>
      <c r="K29" s="25">
        <v>18394</v>
      </c>
      <c r="L29" s="25">
        <v>18847</v>
      </c>
      <c r="M29" s="25">
        <v>19561.347</v>
      </c>
    </row>
    <row r="30" spans="1:13" ht="12">
      <c r="A30" s="12" t="s">
        <v>28</v>
      </c>
      <c r="B30" s="15">
        <v>11485</v>
      </c>
      <c r="C30" s="15">
        <v>12588</v>
      </c>
      <c r="D30" s="15">
        <v>13924</v>
      </c>
      <c r="E30" s="15">
        <v>12980</v>
      </c>
      <c r="F30" s="15">
        <v>13249</v>
      </c>
      <c r="G30" s="25">
        <v>13028</v>
      </c>
      <c r="H30" s="25">
        <v>12377</v>
      </c>
      <c r="I30" s="25">
        <v>12781</v>
      </c>
      <c r="J30" s="25">
        <v>12404</v>
      </c>
      <c r="K30" s="25">
        <v>14701</v>
      </c>
      <c r="L30" s="25">
        <v>13349</v>
      </c>
      <c r="M30" s="25">
        <v>12637.652999999998</v>
      </c>
    </row>
  </sheetData>
  <sheetProtection/>
  <mergeCells count="3">
    <mergeCell ref="B3:M3"/>
    <mergeCell ref="A1:M1"/>
    <mergeCell ref="A2:M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30"/>
  <sheetViews>
    <sheetView zoomScale="90" zoomScaleNormal="90" zoomScaleSheetLayoutView="100" zoomScalePageLayoutView="0" workbookViewId="0" topLeftCell="A1">
      <pane xSplit="1" ySplit="4" topLeftCell="B5" activePane="bottomRight" state="frozen"/>
      <selection pane="topLeft" activeCell="B3" sqref="B3:G3"/>
      <selection pane="topRight" activeCell="B3" sqref="B3:G3"/>
      <selection pane="bottomLeft" activeCell="B3" sqref="B3:G3"/>
      <selection pane="bottomRight" activeCell="G31" sqref="G31"/>
    </sheetView>
  </sheetViews>
  <sheetFormatPr defaultColWidth="9.00390625" defaultRowHeight="12.75"/>
  <cols>
    <col min="1" max="1" width="29.00390625" style="0" customWidth="1"/>
    <col min="2" max="2" width="10.75390625" style="0" customWidth="1"/>
    <col min="3" max="3" width="9.50390625" style="0" bestFit="1" customWidth="1"/>
    <col min="4" max="4" width="10.25390625" style="0" customWidth="1"/>
    <col min="5" max="5" width="9.75390625" style="0" bestFit="1" customWidth="1"/>
    <col min="6" max="6" width="11.00390625" style="0" customWidth="1"/>
    <col min="7" max="12" width="9.75390625" style="0" bestFit="1" customWidth="1"/>
    <col min="13" max="13" width="11.75390625" style="0" customWidth="1"/>
  </cols>
  <sheetData>
    <row r="1" spans="1:13" ht="15">
      <c r="A1" s="93" t="s">
        <v>33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2.75">
      <c r="A2" s="94" t="s">
        <v>31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2">
      <c r="A3" s="2" t="s">
        <v>0</v>
      </c>
      <c r="B3" s="90">
        <v>2001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12">
      <c r="A4" s="2" t="s">
        <v>1</v>
      </c>
      <c r="B4" s="3" t="s">
        <v>27</v>
      </c>
      <c r="C4" s="3" t="s">
        <v>29</v>
      </c>
      <c r="D4" s="3" t="s">
        <v>4</v>
      </c>
      <c r="E4" s="3" t="s">
        <v>19</v>
      </c>
      <c r="F4" s="3" t="s">
        <v>18</v>
      </c>
      <c r="G4" s="19" t="s">
        <v>20</v>
      </c>
      <c r="H4" s="19" t="s">
        <v>21</v>
      </c>
      <c r="I4" s="19" t="s">
        <v>22</v>
      </c>
      <c r="J4" s="19" t="s">
        <v>23</v>
      </c>
      <c r="K4" s="19" t="s">
        <v>24</v>
      </c>
      <c r="L4" s="19" t="s">
        <v>25</v>
      </c>
      <c r="M4" s="19" t="s">
        <v>26</v>
      </c>
    </row>
    <row r="5" spans="1:13" ht="12">
      <c r="A5" s="4" t="s">
        <v>5</v>
      </c>
      <c r="B5" s="5">
        <v>411781</v>
      </c>
      <c r="C5" s="5">
        <v>439966</v>
      </c>
      <c r="D5" s="5">
        <v>559172</v>
      </c>
      <c r="E5" s="5">
        <v>573003</v>
      </c>
      <c r="F5" s="5">
        <v>588259</v>
      </c>
      <c r="G5" s="20">
        <v>592592</v>
      </c>
      <c r="H5" s="20">
        <v>658277</v>
      </c>
      <c r="I5" s="20">
        <v>668832</v>
      </c>
      <c r="J5" s="20">
        <v>688987</v>
      </c>
      <c r="K5" s="20">
        <v>699559</v>
      </c>
      <c r="L5" s="20">
        <v>735854</v>
      </c>
      <c r="M5" s="20">
        <v>691189</v>
      </c>
    </row>
    <row r="6" spans="1:13" ht="12">
      <c r="A6" s="6" t="s">
        <v>6</v>
      </c>
      <c r="B6" s="14"/>
      <c r="C6" s="14"/>
      <c r="D6" s="14"/>
      <c r="E6" s="14"/>
      <c r="F6" s="14"/>
      <c r="G6" s="21"/>
      <c r="H6" s="21"/>
      <c r="I6" s="21"/>
      <c r="J6" s="21"/>
      <c r="K6" s="21"/>
      <c r="L6" s="21"/>
      <c r="M6" s="21"/>
    </row>
    <row r="7" spans="1:13" ht="12">
      <c r="A7" s="7" t="s">
        <v>7</v>
      </c>
      <c r="B7" s="8">
        <v>133725</v>
      </c>
      <c r="C7" s="8">
        <v>133725</v>
      </c>
      <c r="D7" s="8">
        <v>133725</v>
      </c>
      <c r="E7" s="8">
        <v>130725</v>
      </c>
      <c r="F7" s="8">
        <v>130725</v>
      </c>
      <c r="G7" s="17">
        <v>130725</v>
      </c>
      <c r="H7" s="17">
        <v>89741</v>
      </c>
      <c r="I7" s="17">
        <v>89741</v>
      </c>
      <c r="J7" s="17">
        <v>89741</v>
      </c>
      <c r="K7" s="17">
        <v>89741</v>
      </c>
      <c r="L7" s="17">
        <v>89741</v>
      </c>
      <c r="M7" s="17">
        <v>89741</v>
      </c>
    </row>
    <row r="8" spans="1:13" ht="12">
      <c r="A8" s="9" t="s">
        <v>8</v>
      </c>
      <c r="B8" s="8">
        <v>278056</v>
      </c>
      <c r="C8" s="8">
        <v>306241</v>
      </c>
      <c r="D8" s="8">
        <v>425447</v>
      </c>
      <c r="E8" s="8">
        <v>442278</v>
      </c>
      <c r="F8" s="8">
        <v>457534</v>
      </c>
      <c r="G8" s="17">
        <v>461867</v>
      </c>
      <c r="H8" s="17">
        <v>568536</v>
      </c>
      <c r="I8" s="17">
        <v>579091</v>
      </c>
      <c r="J8" s="17">
        <v>599246</v>
      </c>
      <c r="K8" s="17">
        <v>609818</v>
      </c>
      <c r="L8" s="17">
        <v>646113</v>
      </c>
      <c r="M8" s="17">
        <v>601448</v>
      </c>
    </row>
    <row r="9" spans="1:13" ht="12">
      <c r="A9" s="9" t="s">
        <v>9</v>
      </c>
      <c r="B9" s="8"/>
      <c r="C9" s="8"/>
      <c r="D9" s="8"/>
      <c r="E9" s="8"/>
      <c r="F9" s="8"/>
      <c r="G9" s="17"/>
      <c r="H9" s="17"/>
      <c r="I9" s="17"/>
      <c r="J9" s="17"/>
      <c r="K9" s="17"/>
      <c r="L9" s="17"/>
      <c r="M9" s="17"/>
    </row>
    <row r="10" spans="1:13" ht="12">
      <c r="A10" s="9" t="s">
        <v>10</v>
      </c>
      <c r="B10" s="8">
        <v>3114</v>
      </c>
      <c r="C10" s="8">
        <v>12305</v>
      </c>
      <c r="D10" s="8">
        <v>114557</v>
      </c>
      <c r="E10" s="8">
        <v>114479</v>
      </c>
      <c r="F10" s="8">
        <v>114895</v>
      </c>
      <c r="G10" s="17">
        <v>115648</v>
      </c>
      <c r="H10" s="17">
        <v>193518</v>
      </c>
      <c r="I10" s="17">
        <v>193539</v>
      </c>
      <c r="J10" s="17">
        <v>195509</v>
      </c>
      <c r="K10" s="17">
        <v>196168</v>
      </c>
      <c r="L10" s="17">
        <v>203278</v>
      </c>
      <c r="M10" s="17">
        <v>214107</v>
      </c>
    </row>
    <row r="11" spans="1:13" ht="12">
      <c r="A11" s="9" t="s">
        <v>11</v>
      </c>
      <c r="B11" s="8">
        <v>274942</v>
      </c>
      <c r="C11" s="8">
        <v>293936</v>
      </c>
      <c r="D11" s="8">
        <v>310890</v>
      </c>
      <c r="E11" s="8">
        <v>327799</v>
      </c>
      <c r="F11" s="8">
        <v>342639</v>
      </c>
      <c r="G11" s="17">
        <v>346219</v>
      </c>
      <c r="H11" s="17">
        <v>375018</v>
      </c>
      <c r="I11" s="17">
        <v>385552</v>
      </c>
      <c r="J11" s="17">
        <v>403737</v>
      </c>
      <c r="K11" s="17">
        <v>413650</v>
      </c>
      <c r="L11" s="17">
        <v>442835</v>
      </c>
      <c r="M11" s="17">
        <v>387341</v>
      </c>
    </row>
    <row r="12" spans="1:13" ht="22.5">
      <c r="A12" s="18" t="s">
        <v>12</v>
      </c>
      <c r="B12" s="5">
        <v>197482</v>
      </c>
      <c r="C12" s="5">
        <v>215617</v>
      </c>
      <c r="D12" s="5">
        <v>219079</v>
      </c>
      <c r="E12" s="5">
        <v>215960</v>
      </c>
      <c r="F12" s="5">
        <v>214902</v>
      </c>
      <c r="G12" s="20">
        <v>213806</v>
      </c>
      <c r="H12" s="20">
        <v>176047</v>
      </c>
      <c r="I12" s="20">
        <v>179826</v>
      </c>
      <c r="J12" s="20">
        <v>186834</v>
      </c>
      <c r="K12" s="20">
        <v>195482</v>
      </c>
      <c r="L12" s="20">
        <v>197979</v>
      </c>
      <c r="M12" s="20">
        <v>199313</v>
      </c>
    </row>
    <row r="13" spans="1:13" ht="12">
      <c r="A13" s="7" t="s">
        <v>6</v>
      </c>
      <c r="B13" s="8"/>
      <c r="C13" s="8"/>
      <c r="D13" s="8"/>
      <c r="E13" s="8"/>
      <c r="F13" s="8"/>
      <c r="G13" s="17"/>
      <c r="H13" s="17"/>
      <c r="I13" s="17"/>
      <c r="J13" s="17"/>
      <c r="K13" s="17"/>
      <c r="L13" s="17"/>
      <c r="M13" s="17"/>
    </row>
    <row r="14" spans="1:13" ht="12">
      <c r="A14" s="9" t="s">
        <v>7</v>
      </c>
      <c r="B14" s="8">
        <v>133725</v>
      </c>
      <c r="C14" s="8">
        <v>133725</v>
      </c>
      <c r="D14" s="8">
        <v>133725</v>
      </c>
      <c r="E14" s="8">
        <v>130725</v>
      </c>
      <c r="F14" s="8">
        <v>130725</v>
      </c>
      <c r="G14" s="17">
        <v>130725</v>
      </c>
      <c r="H14" s="17">
        <v>89741</v>
      </c>
      <c r="I14" s="17">
        <v>89741</v>
      </c>
      <c r="J14" s="17">
        <v>89741</v>
      </c>
      <c r="K14" s="17">
        <v>89741</v>
      </c>
      <c r="L14" s="17">
        <v>89741</v>
      </c>
      <c r="M14" s="17">
        <v>89741</v>
      </c>
    </row>
    <row r="15" spans="1:13" ht="12">
      <c r="A15" s="9" t="s">
        <v>8</v>
      </c>
      <c r="B15" s="8">
        <v>63757</v>
      </c>
      <c r="C15" s="8">
        <v>81892</v>
      </c>
      <c r="D15" s="8">
        <v>85354</v>
      </c>
      <c r="E15" s="8">
        <v>85235</v>
      </c>
      <c r="F15" s="8">
        <v>84177</v>
      </c>
      <c r="G15" s="17">
        <v>83081</v>
      </c>
      <c r="H15" s="17">
        <v>86306</v>
      </c>
      <c r="I15" s="17">
        <v>90085</v>
      </c>
      <c r="J15" s="17">
        <v>97093</v>
      </c>
      <c r="K15" s="17">
        <v>105741</v>
      </c>
      <c r="L15" s="17">
        <v>108238</v>
      </c>
      <c r="M15" s="17">
        <v>109572</v>
      </c>
    </row>
    <row r="16" spans="1:13" ht="12">
      <c r="A16" s="9" t="s">
        <v>13</v>
      </c>
      <c r="B16" s="8"/>
      <c r="C16" s="8"/>
      <c r="D16" s="8"/>
      <c r="E16" s="8"/>
      <c r="F16" s="8"/>
      <c r="G16" s="17"/>
      <c r="H16" s="17"/>
      <c r="I16" s="17"/>
      <c r="J16" s="17"/>
      <c r="K16" s="17"/>
      <c r="L16" s="17"/>
      <c r="M16" s="17"/>
    </row>
    <row r="17" spans="1:13" ht="12">
      <c r="A17" s="9" t="s">
        <v>10</v>
      </c>
      <c r="B17" s="8">
        <v>3114</v>
      </c>
      <c r="C17" s="8">
        <v>12305</v>
      </c>
      <c r="D17" s="8">
        <v>12732</v>
      </c>
      <c r="E17" s="8">
        <v>12719</v>
      </c>
      <c r="F17" s="8">
        <v>13152</v>
      </c>
      <c r="G17" s="17">
        <v>13329</v>
      </c>
      <c r="H17" s="17">
        <v>13054</v>
      </c>
      <c r="I17" s="17">
        <v>13075</v>
      </c>
      <c r="J17" s="17">
        <v>13078</v>
      </c>
      <c r="K17" s="17">
        <v>15072</v>
      </c>
      <c r="L17" s="17">
        <v>15121</v>
      </c>
      <c r="M17" s="17">
        <v>17156</v>
      </c>
    </row>
    <row r="18" spans="1:13" ht="12">
      <c r="A18" s="9" t="s">
        <v>11</v>
      </c>
      <c r="B18" s="8">
        <v>60643</v>
      </c>
      <c r="C18" s="8">
        <v>69587</v>
      </c>
      <c r="D18" s="8">
        <v>72622</v>
      </c>
      <c r="E18" s="8">
        <v>72516</v>
      </c>
      <c r="F18" s="8">
        <v>71025</v>
      </c>
      <c r="G18" s="17">
        <v>69752</v>
      </c>
      <c r="H18" s="17">
        <v>73252</v>
      </c>
      <c r="I18" s="17">
        <v>77010</v>
      </c>
      <c r="J18" s="17">
        <v>84015</v>
      </c>
      <c r="K18" s="17">
        <v>90669</v>
      </c>
      <c r="L18" s="17">
        <v>93117</v>
      </c>
      <c r="M18" s="17">
        <v>92416</v>
      </c>
    </row>
    <row r="19" spans="1:13" ht="22.5">
      <c r="A19" s="18" t="s">
        <v>14</v>
      </c>
      <c r="B19" s="5">
        <v>214299</v>
      </c>
      <c r="C19" s="5">
        <v>224349</v>
      </c>
      <c r="D19" s="5">
        <v>340093</v>
      </c>
      <c r="E19" s="5">
        <v>357043</v>
      </c>
      <c r="F19" s="5">
        <v>373357</v>
      </c>
      <c r="G19" s="20">
        <v>378786</v>
      </c>
      <c r="H19" s="20">
        <v>482230</v>
      </c>
      <c r="I19" s="20">
        <v>489006</v>
      </c>
      <c r="J19" s="20">
        <v>502153</v>
      </c>
      <c r="K19" s="20">
        <v>504077</v>
      </c>
      <c r="L19" s="20">
        <v>537875</v>
      </c>
      <c r="M19" s="20">
        <v>491876</v>
      </c>
    </row>
    <row r="20" spans="1:13" ht="12">
      <c r="A20" s="9" t="s">
        <v>6</v>
      </c>
      <c r="B20" s="8"/>
      <c r="C20" s="8"/>
      <c r="D20" s="8"/>
      <c r="E20" s="8"/>
      <c r="F20" s="8"/>
      <c r="G20" s="17"/>
      <c r="H20" s="17"/>
      <c r="I20" s="17"/>
      <c r="J20" s="17"/>
      <c r="K20" s="17"/>
      <c r="L20" s="17"/>
      <c r="M20" s="17"/>
    </row>
    <row r="21" spans="1:13" ht="12">
      <c r="A21" s="9" t="s">
        <v>7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</row>
    <row r="22" spans="1:13" ht="12">
      <c r="A22" s="9" t="s">
        <v>8</v>
      </c>
      <c r="B22" s="8">
        <v>214299</v>
      </c>
      <c r="C22" s="8">
        <v>224349</v>
      </c>
      <c r="D22" s="8">
        <v>340093</v>
      </c>
      <c r="E22" s="8">
        <v>357043</v>
      </c>
      <c r="F22" s="8">
        <v>373357</v>
      </c>
      <c r="G22" s="17">
        <v>378786</v>
      </c>
      <c r="H22" s="17">
        <v>482230</v>
      </c>
      <c r="I22" s="17">
        <v>489006</v>
      </c>
      <c r="J22" s="17">
        <v>502153</v>
      </c>
      <c r="K22" s="17">
        <v>504077</v>
      </c>
      <c r="L22" s="17">
        <v>537875</v>
      </c>
      <c r="M22" s="17">
        <v>491876</v>
      </c>
    </row>
    <row r="23" spans="1:13" ht="12">
      <c r="A23" s="9" t="s">
        <v>13</v>
      </c>
      <c r="B23" s="8"/>
      <c r="C23" s="8"/>
      <c r="D23" s="8"/>
      <c r="E23" s="8"/>
      <c r="F23" s="8"/>
      <c r="G23" s="17"/>
      <c r="H23" s="17"/>
      <c r="I23" s="17"/>
      <c r="J23" s="17"/>
      <c r="K23" s="17"/>
      <c r="L23" s="17"/>
      <c r="M23" s="17"/>
    </row>
    <row r="24" spans="1:13" ht="12">
      <c r="A24" s="9" t="s">
        <v>10</v>
      </c>
      <c r="B24" s="8">
        <v>0</v>
      </c>
      <c r="C24" s="8">
        <v>0</v>
      </c>
      <c r="D24" s="8">
        <v>101825</v>
      </c>
      <c r="E24" s="8">
        <v>101760</v>
      </c>
      <c r="F24" s="8">
        <v>101743</v>
      </c>
      <c r="G24" s="17">
        <v>102319</v>
      </c>
      <c r="H24" s="17">
        <v>180464</v>
      </c>
      <c r="I24" s="17">
        <v>180464</v>
      </c>
      <c r="J24" s="17">
        <v>182431</v>
      </c>
      <c r="K24" s="17">
        <v>181096</v>
      </c>
      <c r="L24" s="17">
        <v>188157</v>
      </c>
      <c r="M24" s="17">
        <v>196951</v>
      </c>
    </row>
    <row r="25" spans="1:13" ht="12">
      <c r="A25" s="9" t="s">
        <v>11</v>
      </c>
      <c r="B25" s="8">
        <v>214299</v>
      </c>
      <c r="C25" s="8">
        <v>224349</v>
      </c>
      <c r="D25" s="8">
        <v>238268</v>
      </c>
      <c r="E25" s="8">
        <v>255283</v>
      </c>
      <c r="F25" s="8">
        <v>271614</v>
      </c>
      <c r="G25" s="17">
        <v>276467</v>
      </c>
      <c r="H25" s="17">
        <v>301766</v>
      </c>
      <c r="I25" s="17">
        <v>308542</v>
      </c>
      <c r="J25" s="17">
        <v>319722</v>
      </c>
      <c r="K25" s="17">
        <v>322981</v>
      </c>
      <c r="L25" s="17">
        <v>349718</v>
      </c>
      <c r="M25" s="17">
        <v>294925</v>
      </c>
    </row>
    <row r="26" spans="1:13" ht="12">
      <c r="A26" s="26" t="s">
        <v>15</v>
      </c>
      <c r="B26" s="13"/>
      <c r="C26" s="13"/>
      <c r="D26" s="13"/>
      <c r="E26" s="13"/>
      <c r="F26" s="13"/>
      <c r="G26" s="23"/>
      <c r="H26" s="23"/>
      <c r="I26" s="23"/>
      <c r="J26" s="23"/>
      <c r="K26" s="23"/>
      <c r="L26" s="23"/>
      <c r="M26" s="23"/>
    </row>
    <row r="27" spans="1:13" ht="22.5">
      <c r="A27" s="4" t="s">
        <v>16</v>
      </c>
      <c r="B27" s="1">
        <v>20532</v>
      </c>
      <c r="C27" s="1">
        <v>17221</v>
      </c>
      <c r="D27" s="1">
        <v>17974</v>
      </c>
      <c r="E27" s="1">
        <v>17966</v>
      </c>
      <c r="F27" s="1">
        <v>18909</v>
      </c>
      <c r="G27" s="20">
        <v>14794</v>
      </c>
      <c r="H27" s="20">
        <v>20561</v>
      </c>
      <c r="I27" s="20">
        <v>20437</v>
      </c>
      <c r="J27" s="20">
        <v>21102</v>
      </c>
      <c r="K27" s="20">
        <v>21026</v>
      </c>
      <c r="L27" s="20">
        <v>21658</v>
      </c>
      <c r="M27" s="20">
        <v>20664</v>
      </c>
    </row>
    <row r="28" spans="1:13" ht="12">
      <c r="A28" s="11" t="s">
        <v>6</v>
      </c>
      <c r="B28" s="8"/>
      <c r="C28" s="8"/>
      <c r="D28" s="8"/>
      <c r="E28" s="8"/>
      <c r="F28" s="8"/>
      <c r="G28" s="17"/>
      <c r="H28" s="17"/>
      <c r="I28" s="17"/>
      <c r="J28" s="17"/>
      <c r="K28" s="17"/>
      <c r="L28" s="17"/>
      <c r="M28" s="17"/>
    </row>
    <row r="29" spans="1:13" ht="22.5">
      <c r="A29" s="12" t="s">
        <v>17</v>
      </c>
      <c r="B29" s="15">
        <v>5499</v>
      </c>
      <c r="C29" s="15">
        <v>5303</v>
      </c>
      <c r="D29" s="15">
        <v>5568</v>
      </c>
      <c r="E29" s="15">
        <v>5533</v>
      </c>
      <c r="F29" s="15">
        <v>5953</v>
      </c>
      <c r="G29" s="25">
        <v>4984</v>
      </c>
      <c r="H29" s="25">
        <v>7298</v>
      </c>
      <c r="I29" s="25">
        <v>7246</v>
      </c>
      <c r="J29" s="25">
        <v>7703</v>
      </c>
      <c r="K29" s="25">
        <v>7608</v>
      </c>
      <c r="L29" s="25">
        <v>9019</v>
      </c>
      <c r="M29" s="25">
        <v>8833</v>
      </c>
    </row>
    <row r="30" spans="1:13" ht="12">
      <c r="A30" s="12" t="s">
        <v>28</v>
      </c>
      <c r="B30" s="15">
        <v>15033</v>
      </c>
      <c r="C30" s="15">
        <v>11918</v>
      </c>
      <c r="D30" s="15">
        <v>12406</v>
      </c>
      <c r="E30" s="15">
        <v>12433</v>
      </c>
      <c r="F30" s="15">
        <v>12956</v>
      </c>
      <c r="G30" s="25">
        <v>9810</v>
      </c>
      <c r="H30" s="25">
        <v>13263</v>
      </c>
      <c r="I30" s="25">
        <v>13191</v>
      </c>
      <c r="J30" s="25">
        <v>13399</v>
      </c>
      <c r="K30" s="25">
        <v>13418</v>
      </c>
      <c r="L30" s="25">
        <v>12639</v>
      </c>
      <c r="M30" s="25">
        <v>11831</v>
      </c>
    </row>
  </sheetData>
  <sheetProtection/>
  <mergeCells count="3">
    <mergeCell ref="B3:M3"/>
    <mergeCell ref="A1:M1"/>
    <mergeCell ref="A2:M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30"/>
  <sheetViews>
    <sheetView zoomScale="90" zoomScaleNormal="90" zoomScaleSheetLayoutView="100" zoomScalePageLayoutView="0" workbookViewId="0" topLeftCell="A1">
      <pane xSplit="1" ySplit="4" topLeftCell="B5" activePane="bottomRight" state="frozen"/>
      <selection pane="topLeft" activeCell="B3" sqref="B3:G3"/>
      <selection pane="topRight" activeCell="B3" sqref="B3:G3"/>
      <selection pane="bottomLeft" activeCell="B3" sqref="B3:G3"/>
      <selection pane="bottomRight" activeCell="B5" sqref="B5"/>
    </sheetView>
  </sheetViews>
  <sheetFormatPr defaultColWidth="9.00390625" defaultRowHeight="12.75"/>
  <cols>
    <col min="1" max="1" width="29.00390625" style="0" customWidth="1"/>
    <col min="2" max="2" width="10.75390625" style="0" customWidth="1"/>
    <col min="3" max="3" width="9.50390625" style="0" bestFit="1" customWidth="1"/>
    <col min="4" max="4" width="10.25390625" style="0" customWidth="1"/>
    <col min="5" max="5" width="9.75390625" style="0" bestFit="1" customWidth="1"/>
    <col min="6" max="6" width="11.00390625" style="0" customWidth="1"/>
    <col min="7" max="12" width="9.75390625" style="0" bestFit="1" customWidth="1"/>
    <col min="13" max="13" width="11.75390625" style="0" customWidth="1"/>
  </cols>
  <sheetData>
    <row r="1" spans="1:13" ht="15">
      <c r="A1" s="93" t="s">
        <v>33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2.75">
      <c r="A2" s="94" t="s">
        <v>31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2">
      <c r="A3" s="2" t="s">
        <v>0</v>
      </c>
      <c r="B3" s="90">
        <v>2000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12">
      <c r="A4" s="2" t="s">
        <v>1</v>
      </c>
      <c r="B4" s="3" t="s">
        <v>2</v>
      </c>
      <c r="C4" s="3" t="s">
        <v>3</v>
      </c>
      <c r="D4" s="3" t="s">
        <v>4</v>
      </c>
      <c r="E4" s="3" t="s">
        <v>19</v>
      </c>
      <c r="F4" s="3" t="s">
        <v>18</v>
      </c>
      <c r="G4" s="19" t="s">
        <v>20</v>
      </c>
      <c r="H4" s="19" t="s">
        <v>21</v>
      </c>
      <c r="I4" s="19" t="s">
        <v>22</v>
      </c>
      <c r="J4" s="19" t="s">
        <v>23</v>
      </c>
      <c r="K4" s="19" t="s">
        <v>24</v>
      </c>
      <c r="L4" s="19" t="s">
        <v>25</v>
      </c>
      <c r="M4" s="19" t="s">
        <v>26</v>
      </c>
    </row>
    <row r="5" spans="1:13" ht="12">
      <c r="A5" s="4" t="s">
        <v>5</v>
      </c>
      <c r="B5" s="5">
        <v>314924</v>
      </c>
      <c r="C5" s="5">
        <v>329765</v>
      </c>
      <c r="D5" s="5">
        <v>337638</v>
      </c>
      <c r="E5" s="5">
        <v>349033</v>
      </c>
      <c r="F5" s="5">
        <v>357207</v>
      </c>
      <c r="G5" s="20">
        <v>345650</v>
      </c>
      <c r="H5" s="20">
        <v>381108</v>
      </c>
      <c r="I5" s="20">
        <v>390865</v>
      </c>
      <c r="J5" s="20">
        <v>420723</v>
      </c>
      <c r="K5" s="20">
        <v>405548</v>
      </c>
      <c r="L5" s="20">
        <v>388082</v>
      </c>
      <c r="M5" s="20">
        <v>377418</v>
      </c>
    </row>
    <row r="6" spans="1:13" ht="12">
      <c r="A6" s="6" t="s">
        <v>6</v>
      </c>
      <c r="B6" s="14"/>
      <c r="C6" s="14"/>
      <c r="D6" s="14"/>
      <c r="E6" s="14"/>
      <c r="F6" s="14"/>
      <c r="G6" s="21"/>
      <c r="H6" s="21"/>
      <c r="I6" s="21"/>
      <c r="J6" s="21"/>
      <c r="K6" s="21"/>
      <c r="L6" s="21"/>
      <c r="M6" s="21"/>
    </row>
    <row r="7" spans="1:13" ht="12">
      <c r="A7" s="7" t="s">
        <v>7</v>
      </c>
      <c r="B7" s="8">
        <v>155417</v>
      </c>
      <c r="C7" s="8">
        <v>160243</v>
      </c>
      <c r="D7" s="8">
        <v>164389</v>
      </c>
      <c r="E7" s="8">
        <v>163014</v>
      </c>
      <c r="F7" s="8">
        <v>168521</v>
      </c>
      <c r="G7" s="17">
        <v>168749</v>
      </c>
      <c r="H7" s="17">
        <v>183775</v>
      </c>
      <c r="I7" s="17">
        <v>188057</v>
      </c>
      <c r="J7" s="17">
        <v>194950</v>
      </c>
      <c r="K7" s="17">
        <v>154949</v>
      </c>
      <c r="L7" s="17">
        <v>131752</v>
      </c>
      <c r="M7" s="17">
        <v>131752</v>
      </c>
    </row>
    <row r="8" spans="1:13" ht="12">
      <c r="A8" s="9" t="s">
        <v>8</v>
      </c>
      <c r="B8" s="8">
        <v>159507</v>
      </c>
      <c r="C8" s="8">
        <v>169522</v>
      </c>
      <c r="D8" s="8">
        <v>173249</v>
      </c>
      <c r="E8" s="8">
        <v>186019</v>
      </c>
      <c r="F8" s="8">
        <v>188686</v>
      </c>
      <c r="G8" s="17">
        <v>176901</v>
      </c>
      <c r="H8" s="17">
        <v>197333</v>
      </c>
      <c r="I8" s="17">
        <v>202808</v>
      </c>
      <c r="J8" s="17">
        <v>225773</v>
      </c>
      <c r="K8" s="17">
        <v>250599</v>
      </c>
      <c r="L8" s="17">
        <v>256330</v>
      </c>
      <c r="M8" s="17">
        <v>245666</v>
      </c>
    </row>
    <row r="9" spans="1:13" ht="12">
      <c r="A9" s="9" t="s">
        <v>9</v>
      </c>
      <c r="B9" s="8"/>
      <c r="C9" s="8"/>
      <c r="D9" s="8"/>
      <c r="E9" s="8"/>
      <c r="F9" s="8"/>
      <c r="G9" s="17"/>
      <c r="H9" s="17"/>
      <c r="I9" s="17"/>
      <c r="J9" s="17"/>
      <c r="K9" s="17"/>
      <c r="L9" s="17"/>
      <c r="M9" s="17"/>
    </row>
    <row r="10" spans="1:13" ht="12">
      <c r="A10" s="9" t="s">
        <v>10</v>
      </c>
      <c r="B10" s="8">
        <v>13289</v>
      </c>
      <c r="C10" s="8">
        <v>13741</v>
      </c>
      <c r="D10" s="8">
        <v>13872</v>
      </c>
      <c r="E10" s="8">
        <v>24684</v>
      </c>
      <c r="F10" s="8">
        <v>25808</v>
      </c>
      <c r="G10" s="17">
        <v>25621</v>
      </c>
      <c r="H10" s="17">
        <v>27546</v>
      </c>
      <c r="I10" s="17">
        <v>27518</v>
      </c>
      <c r="J10" s="17">
        <v>28325</v>
      </c>
      <c r="K10" s="17">
        <v>2855</v>
      </c>
      <c r="L10" s="17">
        <v>3154</v>
      </c>
      <c r="M10" s="17">
        <v>3121</v>
      </c>
    </row>
    <row r="11" spans="1:13" ht="12">
      <c r="A11" s="9" t="s">
        <v>11</v>
      </c>
      <c r="B11" s="8">
        <v>146218</v>
      </c>
      <c r="C11" s="8">
        <v>155781</v>
      </c>
      <c r="D11" s="8">
        <v>159377</v>
      </c>
      <c r="E11" s="8">
        <v>161335</v>
      </c>
      <c r="F11" s="8">
        <v>162878</v>
      </c>
      <c r="G11" s="17">
        <v>151280</v>
      </c>
      <c r="H11" s="17">
        <v>169787</v>
      </c>
      <c r="I11" s="17">
        <v>175290</v>
      </c>
      <c r="J11" s="17">
        <v>197448</v>
      </c>
      <c r="K11" s="17">
        <v>247744</v>
      </c>
      <c r="L11" s="17">
        <v>253176</v>
      </c>
      <c r="M11" s="17">
        <v>242545</v>
      </c>
    </row>
    <row r="12" spans="1:13" ht="22.5">
      <c r="A12" s="18" t="s">
        <v>12</v>
      </c>
      <c r="B12" s="5">
        <v>91782</v>
      </c>
      <c r="C12" s="5">
        <v>92097</v>
      </c>
      <c r="D12" s="5">
        <v>93899</v>
      </c>
      <c r="E12" s="5">
        <v>105498</v>
      </c>
      <c r="F12" s="5">
        <v>107678</v>
      </c>
      <c r="G12" s="20">
        <v>107556</v>
      </c>
      <c r="H12" s="20">
        <v>109148</v>
      </c>
      <c r="I12" s="20">
        <v>116030</v>
      </c>
      <c r="J12" s="20">
        <v>123222</v>
      </c>
      <c r="K12" s="20">
        <v>222132</v>
      </c>
      <c r="L12" s="20">
        <v>199949</v>
      </c>
      <c r="M12" s="20">
        <v>194634</v>
      </c>
    </row>
    <row r="13" spans="1:13" ht="12">
      <c r="A13" s="7" t="s">
        <v>6</v>
      </c>
      <c r="B13" s="8"/>
      <c r="C13" s="8"/>
      <c r="D13" s="8"/>
      <c r="E13" s="8"/>
      <c r="F13" s="8"/>
      <c r="G13" s="17"/>
      <c r="H13" s="17"/>
      <c r="I13" s="17"/>
      <c r="J13" s="17"/>
      <c r="K13" s="17"/>
      <c r="L13" s="17"/>
      <c r="M13" s="17"/>
    </row>
    <row r="14" spans="1:13" ht="12">
      <c r="A14" s="9" t="s">
        <v>7</v>
      </c>
      <c r="B14" s="8">
        <v>40936</v>
      </c>
      <c r="C14" s="8">
        <v>40936</v>
      </c>
      <c r="D14" s="8">
        <v>41393</v>
      </c>
      <c r="E14" s="8">
        <v>41393</v>
      </c>
      <c r="F14" s="8">
        <v>41393</v>
      </c>
      <c r="G14" s="17">
        <v>41393</v>
      </c>
      <c r="H14" s="17">
        <v>41393</v>
      </c>
      <c r="I14" s="17">
        <v>41393</v>
      </c>
      <c r="J14" s="17">
        <v>41393</v>
      </c>
      <c r="K14" s="17">
        <v>154949</v>
      </c>
      <c r="L14" s="17">
        <v>131752</v>
      </c>
      <c r="M14" s="17">
        <v>131752</v>
      </c>
    </row>
    <row r="15" spans="1:13" ht="12">
      <c r="A15" s="9" t="s">
        <v>8</v>
      </c>
      <c r="B15" s="8">
        <v>50846</v>
      </c>
      <c r="C15" s="8">
        <v>51161</v>
      </c>
      <c r="D15" s="8">
        <v>52506</v>
      </c>
      <c r="E15" s="8">
        <v>64105</v>
      </c>
      <c r="F15" s="8">
        <v>66285</v>
      </c>
      <c r="G15" s="17">
        <v>66163</v>
      </c>
      <c r="H15" s="17">
        <v>67755</v>
      </c>
      <c r="I15" s="17">
        <v>74637</v>
      </c>
      <c r="J15" s="17">
        <v>81829</v>
      </c>
      <c r="K15" s="17">
        <v>67183</v>
      </c>
      <c r="L15" s="17">
        <v>68197</v>
      </c>
      <c r="M15" s="17">
        <v>62882</v>
      </c>
    </row>
    <row r="16" spans="1:13" ht="12">
      <c r="A16" s="9" t="s">
        <v>13</v>
      </c>
      <c r="B16" s="8"/>
      <c r="C16" s="8"/>
      <c r="D16" s="8"/>
      <c r="E16" s="8"/>
      <c r="F16" s="8"/>
      <c r="G16" s="17"/>
      <c r="H16" s="17"/>
      <c r="I16" s="17"/>
      <c r="J16" s="17"/>
      <c r="K16" s="17"/>
      <c r="L16" s="17"/>
      <c r="M16" s="17"/>
    </row>
    <row r="17" spans="1:13" ht="12">
      <c r="A17" s="9" t="s">
        <v>10</v>
      </c>
      <c r="B17" s="8">
        <v>2049</v>
      </c>
      <c r="C17" s="8">
        <v>2227</v>
      </c>
      <c r="D17" s="8">
        <v>2167</v>
      </c>
      <c r="E17" s="8">
        <v>11622</v>
      </c>
      <c r="F17" s="8">
        <v>11805</v>
      </c>
      <c r="G17" s="17">
        <v>11598</v>
      </c>
      <c r="H17" s="17">
        <v>11885</v>
      </c>
      <c r="I17" s="17">
        <v>11923</v>
      </c>
      <c r="J17" s="17">
        <v>12020</v>
      </c>
      <c r="K17" s="17">
        <v>2855</v>
      </c>
      <c r="L17" s="17">
        <v>3154</v>
      </c>
      <c r="M17" s="17">
        <v>3121</v>
      </c>
    </row>
    <row r="18" spans="1:13" ht="12">
      <c r="A18" s="9" t="s">
        <v>11</v>
      </c>
      <c r="B18" s="8">
        <v>48797</v>
      </c>
      <c r="C18" s="8">
        <v>48934</v>
      </c>
      <c r="D18" s="8">
        <v>50339</v>
      </c>
      <c r="E18" s="8">
        <v>52483</v>
      </c>
      <c r="F18" s="8">
        <v>54480</v>
      </c>
      <c r="G18" s="17">
        <v>54565</v>
      </c>
      <c r="H18" s="17">
        <v>55870</v>
      </c>
      <c r="I18" s="17">
        <v>62714</v>
      </c>
      <c r="J18" s="17">
        <v>69809</v>
      </c>
      <c r="K18" s="17">
        <v>64328</v>
      </c>
      <c r="L18" s="17">
        <v>65043</v>
      </c>
      <c r="M18" s="17">
        <v>59761</v>
      </c>
    </row>
    <row r="19" spans="1:13" ht="22.5">
      <c r="A19" s="18" t="s">
        <v>14</v>
      </c>
      <c r="B19" s="5">
        <v>223142</v>
      </c>
      <c r="C19" s="5">
        <v>237668</v>
      </c>
      <c r="D19" s="5">
        <v>243739</v>
      </c>
      <c r="E19" s="5">
        <v>243535</v>
      </c>
      <c r="F19" s="5">
        <v>249529</v>
      </c>
      <c r="G19" s="20">
        <v>238094</v>
      </c>
      <c r="H19" s="20">
        <v>271960</v>
      </c>
      <c r="I19" s="20">
        <v>274835</v>
      </c>
      <c r="J19" s="20">
        <v>297501</v>
      </c>
      <c r="K19" s="20">
        <v>183416</v>
      </c>
      <c r="L19" s="20">
        <v>188133</v>
      </c>
      <c r="M19" s="20">
        <v>182784</v>
      </c>
    </row>
    <row r="20" spans="1:13" ht="12">
      <c r="A20" s="9" t="s">
        <v>6</v>
      </c>
      <c r="B20" s="8"/>
      <c r="C20" s="8"/>
      <c r="D20" s="8"/>
      <c r="E20" s="8"/>
      <c r="F20" s="8"/>
      <c r="G20" s="17"/>
      <c r="H20" s="17"/>
      <c r="I20" s="17"/>
      <c r="J20" s="17"/>
      <c r="K20" s="17"/>
      <c r="L20" s="17"/>
      <c r="M20" s="17"/>
    </row>
    <row r="21" spans="1:13" ht="12">
      <c r="A21" s="9" t="s">
        <v>7</v>
      </c>
      <c r="B21" s="16">
        <v>114481</v>
      </c>
      <c r="C21" s="16">
        <v>119307</v>
      </c>
      <c r="D21" s="16">
        <v>122996</v>
      </c>
      <c r="E21" s="16">
        <v>121621</v>
      </c>
      <c r="F21" s="16">
        <v>127128</v>
      </c>
      <c r="G21" s="22">
        <v>127356</v>
      </c>
      <c r="H21" s="22">
        <v>142382</v>
      </c>
      <c r="I21" s="22">
        <v>146664</v>
      </c>
      <c r="J21" s="22">
        <v>153557</v>
      </c>
      <c r="K21" s="22">
        <v>0</v>
      </c>
      <c r="L21" s="22">
        <v>0</v>
      </c>
      <c r="M21" s="22">
        <v>0</v>
      </c>
    </row>
    <row r="22" spans="1:13" ht="12">
      <c r="A22" s="9" t="s">
        <v>8</v>
      </c>
      <c r="B22" s="8">
        <v>108661</v>
      </c>
      <c r="C22" s="8">
        <v>118361</v>
      </c>
      <c r="D22" s="8">
        <v>120743</v>
      </c>
      <c r="E22" s="8">
        <v>121914</v>
      </c>
      <c r="F22" s="8">
        <v>122401</v>
      </c>
      <c r="G22" s="17">
        <v>110738</v>
      </c>
      <c r="H22" s="17">
        <v>129578</v>
      </c>
      <c r="I22" s="17">
        <v>128171</v>
      </c>
      <c r="J22" s="17">
        <v>143944</v>
      </c>
      <c r="K22" s="17">
        <v>183416</v>
      </c>
      <c r="L22" s="17">
        <v>188133</v>
      </c>
      <c r="M22" s="17">
        <v>182784</v>
      </c>
    </row>
    <row r="23" spans="1:13" ht="12">
      <c r="A23" s="9" t="s">
        <v>13</v>
      </c>
      <c r="B23" s="8"/>
      <c r="C23" s="8"/>
      <c r="D23" s="8"/>
      <c r="E23" s="8"/>
      <c r="F23" s="8"/>
      <c r="G23" s="17"/>
      <c r="H23" s="17"/>
      <c r="I23" s="17"/>
      <c r="J23" s="17"/>
      <c r="K23" s="17"/>
      <c r="L23" s="17"/>
      <c r="M23" s="17"/>
    </row>
    <row r="24" spans="1:13" ht="12">
      <c r="A24" s="9" t="s">
        <v>10</v>
      </c>
      <c r="B24" s="8">
        <v>11240</v>
      </c>
      <c r="C24" s="8">
        <v>11514</v>
      </c>
      <c r="D24" s="8">
        <v>11705</v>
      </c>
      <c r="E24" s="8">
        <v>13062</v>
      </c>
      <c r="F24" s="8">
        <v>14003</v>
      </c>
      <c r="G24" s="17">
        <v>14023</v>
      </c>
      <c r="H24" s="17">
        <v>15661</v>
      </c>
      <c r="I24" s="17">
        <v>15595</v>
      </c>
      <c r="J24" s="17">
        <v>16305</v>
      </c>
      <c r="K24" s="17">
        <v>0</v>
      </c>
      <c r="L24" s="17">
        <v>0</v>
      </c>
      <c r="M24" s="17">
        <v>0</v>
      </c>
    </row>
    <row r="25" spans="1:13" ht="12">
      <c r="A25" s="9" t="s">
        <v>11</v>
      </c>
      <c r="B25" s="8">
        <v>97421</v>
      </c>
      <c r="C25" s="8">
        <v>106847</v>
      </c>
      <c r="D25" s="8">
        <v>109038</v>
      </c>
      <c r="E25" s="8">
        <v>108852</v>
      </c>
      <c r="F25" s="8">
        <v>108398</v>
      </c>
      <c r="G25" s="17">
        <v>96715</v>
      </c>
      <c r="H25" s="17">
        <v>113917</v>
      </c>
      <c r="I25" s="17">
        <v>112576</v>
      </c>
      <c r="J25" s="17">
        <v>127639</v>
      </c>
      <c r="K25" s="17">
        <v>183416</v>
      </c>
      <c r="L25" s="17">
        <v>188133</v>
      </c>
      <c r="M25" s="17">
        <v>182784</v>
      </c>
    </row>
    <row r="26" spans="1:13" ht="12">
      <c r="A26" s="26" t="s">
        <v>15</v>
      </c>
      <c r="B26" s="13"/>
      <c r="C26" s="13"/>
      <c r="D26" s="13"/>
      <c r="E26" s="13"/>
      <c r="F26" s="13"/>
      <c r="G26" s="23"/>
      <c r="H26" s="23"/>
      <c r="I26" s="23"/>
      <c r="J26" s="23"/>
      <c r="K26" s="23"/>
      <c r="L26" s="23"/>
      <c r="M26" s="23"/>
    </row>
    <row r="27" spans="1:13" ht="22.5">
      <c r="A27" s="4" t="s">
        <v>16</v>
      </c>
      <c r="B27" s="1">
        <v>3902</v>
      </c>
      <c r="C27" s="1">
        <v>4533</v>
      </c>
      <c r="D27" s="1">
        <v>4075</v>
      </c>
      <c r="E27" s="1">
        <v>4195</v>
      </c>
      <c r="F27" s="1">
        <v>4355</v>
      </c>
      <c r="G27" s="20">
        <v>3419</v>
      </c>
      <c r="H27" s="20">
        <v>4442</v>
      </c>
      <c r="I27" s="20">
        <v>18091</v>
      </c>
      <c r="J27" s="20">
        <v>18932</v>
      </c>
      <c r="K27" s="20">
        <v>19984</v>
      </c>
      <c r="L27" s="20">
        <v>20042</v>
      </c>
      <c r="M27" s="20">
        <v>19775</v>
      </c>
    </row>
    <row r="28" spans="1:13" ht="12">
      <c r="A28" s="11" t="s">
        <v>6</v>
      </c>
      <c r="B28" s="8"/>
      <c r="C28" s="8"/>
      <c r="D28" s="8"/>
      <c r="E28" s="8"/>
      <c r="F28" s="8"/>
      <c r="G28" s="17"/>
      <c r="H28" s="17"/>
      <c r="I28" s="17"/>
      <c r="J28" s="17"/>
      <c r="K28" s="17"/>
      <c r="L28" s="17"/>
      <c r="M28" s="17"/>
    </row>
    <row r="29" spans="1:13" ht="22.5">
      <c r="A29" s="12" t="s">
        <v>17</v>
      </c>
      <c r="B29" s="15">
        <v>3902</v>
      </c>
      <c r="C29" s="15">
        <v>4533</v>
      </c>
      <c r="D29" s="15">
        <v>4075</v>
      </c>
      <c r="E29" s="15">
        <v>4195</v>
      </c>
      <c r="F29" s="15">
        <v>4355</v>
      </c>
      <c r="G29" s="25">
        <v>3419</v>
      </c>
      <c r="H29" s="25">
        <v>4442</v>
      </c>
      <c r="I29" s="25">
        <v>3953</v>
      </c>
      <c r="J29" s="25">
        <v>4105</v>
      </c>
      <c r="K29" s="25">
        <v>4480</v>
      </c>
      <c r="L29" s="25">
        <v>4456</v>
      </c>
      <c r="M29" s="25">
        <v>4946</v>
      </c>
    </row>
    <row r="30" spans="1:13" ht="12">
      <c r="A30" s="12" t="s">
        <v>28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25">
        <v>0</v>
      </c>
      <c r="H30" s="25">
        <v>0</v>
      </c>
      <c r="I30" s="25">
        <v>14138</v>
      </c>
      <c r="J30" s="25">
        <v>14827</v>
      </c>
      <c r="K30" s="25">
        <v>15504</v>
      </c>
      <c r="L30" s="25">
        <v>15586</v>
      </c>
      <c r="M30" s="25">
        <v>14829</v>
      </c>
    </row>
  </sheetData>
  <sheetProtection/>
  <mergeCells count="3">
    <mergeCell ref="B3:M3"/>
    <mergeCell ref="A1:M1"/>
    <mergeCell ref="A2:M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="85" zoomScaleNormal="85" zoomScalePageLayoutView="0" workbookViewId="0" topLeftCell="A1">
      <selection activeCell="A16" sqref="A16"/>
    </sheetView>
  </sheetViews>
  <sheetFormatPr defaultColWidth="9.25390625" defaultRowHeight="12.75"/>
  <cols>
    <col min="1" max="1" width="42.00390625" style="49" customWidth="1"/>
    <col min="2" max="2" width="9.50390625" style="49" customWidth="1"/>
    <col min="3" max="16384" width="9.25390625" style="49" customWidth="1"/>
  </cols>
  <sheetData>
    <row r="1" spans="1:13" ht="37.5" customHeight="1">
      <c r="A1" s="58" t="s">
        <v>33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8.75" customHeight="1">
      <c r="A2" s="63" t="s">
        <v>55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5" customHeight="1">
      <c r="A3" s="44" t="s">
        <v>0</v>
      </c>
      <c r="B3" s="60">
        <v>2022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</row>
    <row r="4" spans="1:13" ht="20.25" customHeight="1">
      <c r="A4" s="44" t="s">
        <v>1</v>
      </c>
      <c r="B4" s="50" t="s">
        <v>64</v>
      </c>
      <c r="C4" s="50" t="s">
        <v>65</v>
      </c>
      <c r="D4" s="50" t="s">
        <v>66</v>
      </c>
      <c r="E4" s="50" t="s">
        <v>67</v>
      </c>
      <c r="F4" s="50" t="s">
        <v>44</v>
      </c>
      <c r="G4" s="50" t="s">
        <v>45</v>
      </c>
      <c r="H4" s="50" t="s">
        <v>46</v>
      </c>
      <c r="I4" s="50" t="s">
        <v>59</v>
      </c>
      <c r="J4" s="50" t="s">
        <v>60</v>
      </c>
      <c r="K4" s="51" t="s">
        <v>61</v>
      </c>
      <c r="L4" s="50" t="s">
        <v>62</v>
      </c>
      <c r="M4" s="50" t="s">
        <v>63</v>
      </c>
    </row>
    <row r="5" spans="1:13" ht="13.5">
      <c r="A5" s="40" t="s">
        <v>5</v>
      </c>
      <c r="B5" s="35">
        <f aca="true" t="shared" si="0" ref="B5:L5">B9+B13</f>
        <v>12146189.018911332</v>
      </c>
      <c r="C5" s="35">
        <f t="shared" si="0"/>
        <v>12340081.608367333</v>
      </c>
      <c r="D5" s="35">
        <v>12937508.7653788</v>
      </c>
      <c r="E5" s="35">
        <f>E9+E13</f>
        <v>12966793.245995503</v>
      </c>
      <c r="F5" s="35">
        <f>F9+F13</f>
        <v>12609499.193712002</v>
      </c>
      <c r="G5" s="35">
        <f>G9+G13</f>
        <v>12393761.023779605</v>
      </c>
      <c r="H5" s="35">
        <f t="shared" si="0"/>
        <v>12372130.51429076</v>
      </c>
      <c r="I5" s="35">
        <f t="shared" si="0"/>
        <v>12706308.549529864</v>
      </c>
      <c r="J5" s="35">
        <f t="shared" si="0"/>
        <v>13015051.832664402</v>
      </c>
      <c r="K5" s="35">
        <f t="shared" si="0"/>
        <v>13256373.616179846</v>
      </c>
      <c r="L5" s="35">
        <f t="shared" si="0"/>
        <v>13438544.176625803</v>
      </c>
      <c r="M5" s="35">
        <v>13656978.545783319</v>
      </c>
    </row>
    <row r="6" spans="1:13" ht="13.5">
      <c r="A6" s="45" t="s">
        <v>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3.5">
      <c r="A7" s="46" t="s">
        <v>10</v>
      </c>
      <c r="B7" s="38">
        <f aca="true" t="shared" si="1" ref="B7:L8">B11+B15</f>
        <v>80634.53175</v>
      </c>
      <c r="C7" s="38">
        <f t="shared" si="1"/>
        <v>80481.03548</v>
      </c>
      <c r="D7" s="38">
        <v>80386.76463</v>
      </c>
      <c r="E7" s="38">
        <f aca="true" t="shared" si="2" ref="E7:G8">E11+E15</f>
        <v>80289.21181000001</v>
      </c>
      <c r="F7" s="38">
        <f t="shared" si="2"/>
        <v>80205.57916000001</v>
      </c>
      <c r="G7" s="38">
        <f t="shared" si="2"/>
        <v>80114.57436</v>
      </c>
      <c r="H7" s="38">
        <f t="shared" si="1"/>
        <v>80034.01023</v>
      </c>
      <c r="I7" s="38">
        <f t="shared" si="1"/>
        <v>79869.94933000002</v>
      </c>
      <c r="J7" s="38">
        <f t="shared" si="1"/>
        <v>79774.90822000001</v>
      </c>
      <c r="K7" s="38">
        <f t="shared" si="1"/>
        <v>79601.62081000001</v>
      </c>
      <c r="L7" s="38">
        <f t="shared" si="1"/>
        <v>79488.17485000001</v>
      </c>
      <c r="M7" s="38">
        <v>79399.47786</v>
      </c>
    </row>
    <row r="8" spans="1:13" ht="13.5">
      <c r="A8" s="46" t="s">
        <v>68</v>
      </c>
      <c r="B8" s="38">
        <f t="shared" si="1"/>
        <v>12065554.487161333</v>
      </c>
      <c r="C8" s="38">
        <f t="shared" si="1"/>
        <v>12259600.572887333</v>
      </c>
      <c r="D8" s="38">
        <v>12857122.0007488</v>
      </c>
      <c r="E8" s="38">
        <f t="shared" si="2"/>
        <v>12886504.034185503</v>
      </c>
      <c r="F8" s="38">
        <f t="shared" si="2"/>
        <v>12529293.614552002</v>
      </c>
      <c r="G8" s="38">
        <f t="shared" si="2"/>
        <v>12313646.449419605</v>
      </c>
      <c r="H8" s="38">
        <f t="shared" si="1"/>
        <v>12292096.50406076</v>
      </c>
      <c r="I8" s="38">
        <f t="shared" si="1"/>
        <v>12626438.600199863</v>
      </c>
      <c r="J8" s="38">
        <f t="shared" si="1"/>
        <v>12935276.924444402</v>
      </c>
      <c r="K8" s="38">
        <f t="shared" si="1"/>
        <v>13176771.995369846</v>
      </c>
      <c r="L8" s="38">
        <f t="shared" si="1"/>
        <v>13359056.001775803</v>
      </c>
      <c r="M8" s="38">
        <v>13577579.067923319</v>
      </c>
    </row>
    <row r="9" spans="1:13" ht="14.25" customHeight="1">
      <c r="A9" s="40" t="s">
        <v>12</v>
      </c>
      <c r="B9" s="35">
        <f>B11+B12</f>
        <v>8222412.926300002</v>
      </c>
      <c r="C9" s="35">
        <f>C11+C12</f>
        <v>8453972.817362003</v>
      </c>
      <c r="D9" s="35">
        <v>8597297.2507164</v>
      </c>
      <c r="E9" s="35">
        <f aca="true" t="shared" si="3" ref="E9:L9">E11+E12</f>
        <v>8687332.432898302</v>
      </c>
      <c r="F9" s="35">
        <f t="shared" si="3"/>
        <v>8710806.691376003</v>
      </c>
      <c r="G9" s="35">
        <f t="shared" si="3"/>
        <v>8837114.440499254</v>
      </c>
      <c r="H9" s="35">
        <f t="shared" si="3"/>
        <v>8958057.09602538</v>
      </c>
      <c r="I9" s="35">
        <f t="shared" si="3"/>
        <v>9177742.32075</v>
      </c>
      <c r="J9" s="35">
        <f t="shared" si="3"/>
        <v>9356202.962810002</v>
      </c>
      <c r="K9" s="35">
        <f t="shared" si="3"/>
        <v>9399748.516009998</v>
      </c>
      <c r="L9" s="35">
        <f t="shared" si="3"/>
        <v>9559450.311770003</v>
      </c>
      <c r="M9" s="35">
        <v>9795660.42298</v>
      </c>
    </row>
    <row r="10" spans="1:13" ht="13.5">
      <c r="A10" s="47" t="s">
        <v>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3.5">
      <c r="A11" s="46" t="s">
        <v>10</v>
      </c>
      <c r="B11" s="38">
        <v>80634.53175</v>
      </c>
      <c r="C11" s="38">
        <v>80481.03548</v>
      </c>
      <c r="D11" s="38">
        <v>80386.76463</v>
      </c>
      <c r="E11" s="38">
        <v>80289.21181000001</v>
      </c>
      <c r="F11" s="38">
        <v>80205.57916000001</v>
      </c>
      <c r="G11" s="38">
        <v>80114.57436</v>
      </c>
      <c r="H11" s="38">
        <v>80034.01023</v>
      </c>
      <c r="I11" s="38">
        <v>79869.94933000002</v>
      </c>
      <c r="J11" s="38">
        <v>79774.90822000001</v>
      </c>
      <c r="K11" s="38">
        <v>79601.62081000001</v>
      </c>
      <c r="L11" s="38">
        <v>79488.17485000001</v>
      </c>
      <c r="M11" s="38">
        <v>79399.47786</v>
      </c>
    </row>
    <row r="12" spans="1:13" ht="13.5">
      <c r="A12" s="46" t="s">
        <v>68</v>
      </c>
      <c r="B12" s="38">
        <v>8141778.394550002</v>
      </c>
      <c r="C12" s="38">
        <v>8373491.781882003</v>
      </c>
      <c r="D12" s="38">
        <v>8516910.4860864</v>
      </c>
      <c r="E12" s="38">
        <v>8607043.221088301</v>
      </c>
      <c r="F12" s="38">
        <v>8630601.112216003</v>
      </c>
      <c r="G12" s="38">
        <v>8756999.866139254</v>
      </c>
      <c r="H12" s="38">
        <v>8878023.08579538</v>
      </c>
      <c r="I12" s="38">
        <v>9097872.37142</v>
      </c>
      <c r="J12" s="38">
        <v>9276428.054590002</v>
      </c>
      <c r="K12" s="38">
        <v>9320146.895199997</v>
      </c>
      <c r="L12" s="38">
        <v>9479962.136920003</v>
      </c>
      <c r="M12" s="38">
        <v>9716260.94512</v>
      </c>
    </row>
    <row r="13" spans="1:13" ht="13.5">
      <c r="A13" s="40" t="s">
        <v>14</v>
      </c>
      <c r="B13" s="35">
        <f>B15+B16</f>
        <v>3923776.0926113306</v>
      </c>
      <c r="C13" s="35">
        <f>C15+C16</f>
        <v>3886108.7910053306</v>
      </c>
      <c r="D13" s="35">
        <v>4340211.5146624</v>
      </c>
      <c r="E13" s="35">
        <f aca="true" t="shared" si="4" ref="E13:L13">E15+E16</f>
        <v>4279460.8130972</v>
      </c>
      <c r="F13" s="35">
        <f t="shared" si="4"/>
        <v>3898692.5023359996</v>
      </c>
      <c r="G13" s="35">
        <f t="shared" si="4"/>
        <v>3556646.5832803505</v>
      </c>
      <c r="H13" s="35">
        <f t="shared" si="4"/>
        <v>3414073.41826538</v>
      </c>
      <c r="I13" s="35">
        <f t="shared" si="4"/>
        <v>3528566.2287798636</v>
      </c>
      <c r="J13" s="35">
        <f t="shared" si="4"/>
        <v>3658848.8698543995</v>
      </c>
      <c r="K13" s="35">
        <f t="shared" si="4"/>
        <v>3856625.1001698487</v>
      </c>
      <c r="L13" s="35">
        <f t="shared" si="4"/>
        <v>3879093.8648558</v>
      </c>
      <c r="M13" s="35">
        <v>3861318.1228033197</v>
      </c>
    </row>
    <row r="14" spans="1:13" ht="13.5">
      <c r="A14" s="45" t="s">
        <v>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13.5">
      <c r="A15" s="46" t="s">
        <v>10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</row>
    <row r="16" spans="1:13" ht="13.5">
      <c r="A16" s="46" t="s">
        <v>68</v>
      </c>
      <c r="B16" s="38">
        <v>3923776.0926113306</v>
      </c>
      <c r="C16" s="38">
        <v>3886108.7910053306</v>
      </c>
      <c r="D16" s="38">
        <v>4340211.5146624</v>
      </c>
      <c r="E16" s="38">
        <v>4279460.8130972</v>
      </c>
      <c r="F16" s="38">
        <v>3898692.5023359996</v>
      </c>
      <c r="G16" s="38">
        <v>3556646.5832803505</v>
      </c>
      <c r="H16" s="38">
        <v>3414073.41826538</v>
      </c>
      <c r="I16" s="38">
        <v>3528566.2287798636</v>
      </c>
      <c r="J16" s="38">
        <v>3658848.8698543995</v>
      </c>
      <c r="K16" s="38">
        <v>3856625.1001698487</v>
      </c>
      <c r="L16" s="38">
        <v>3879093.8648558</v>
      </c>
      <c r="M16" s="38">
        <v>3861318.1228033197</v>
      </c>
    </row>
    <row r="17" spans="1:2" ht="15">
      <c r="A17" s="48"/>
      <c r="B17" s="48"/>
    </row>
    <row r="18" spans="2:13" ht="12"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</row>
    <row r="19" spans="2:13" ht="12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</row>
    <row r="20" spans="2:13" ht="12"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spans="2:13" ht="12"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</row>
    <row r="22" spans="2:13" ht="12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</row>
    <row r="23" spans="2:13" ht="12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2:13" ht="12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2:13" ht="12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</row>
    <row r="26" spans="2:13" ht="12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</row>
    <row r="27" spans="2:13" ht="12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  <row r="28" spans="2:13" ht="12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2:13" ht="12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2:13" ht="12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</row>
    <row r="31" spans="2:13" ht="12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spans="2:13" ht="12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</row>
  </sheetData>
  <sheetProtection/>
  <mergeCells count="3">
    <mergeCell ref="A1:M1"/>
    <mergeCell ref="A2:M2"/>
    <mergeCell ref="B3:M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="85" zoomScaleNormal="85" zoomScalePageLayoutView="0" workbookViewId="0" topLeftCell="A1">
      <selection activeCell="A16" sqref="A16"/>
    </sheetView>
  </sheetViews>
  <sheetFormatPr defaultColWidth="9.25390625" defaultRowHeight="12.75"/>
  <cols>
    <col min="1" max="1" width="42.00390625" style="49" customWidth="1"/>
    <col min="2" max="2" width="9.50390625" style="49" customWidth="1"/>
    <col min="3" max="16384" width="9.25390625" style="49" customWidth="1"/>
  </cols>
  <sheetData>
    <row r="1" spans="1:13" ht="37.5" customHeight="1">
      <c r="A1" s="58" t="s">
        <v>33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8.75" customHeight="1">
      <c r="A2" s="63" t="s">
        <v>55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5" customHeight="1">
      <c r="A3" s="44" t="s">
        <v>0</v>
      </c>
      <c r="B3" s="60">
        <v>2021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</row>
    <row r="4" spans="1:13" ht="20.25" customHeight="1">
      <c r="A4" s="44" t="s">
        <v>1</v>
      </c>
      <c r="B4" s="50" t="s">
        <v>64</v>
      </c>
      <c r="C4" s="50" t="s">
        <v>65</v>
      </c>
      <c r="D4" s="50" t="s">
        <v>66</v>
      </c>
      <c r="E4" s="50" t="s">
        <v>67</v>
      </c>
      <c r="F4" s="50" t="s">
        <v>44</v>
      </c>
      <c r="G4" s="50" t="s">
        <v>45</v>
      </c>
      <c r="H4" s="50" t="s">
        <v>46</v>
      </c>
      <c r="I4" s="50" t="s">
        <v>59</v>
      </c>
      <c r="J4" s="50" t="s">
        <v>60</v>
      </c>
      <c r="K4" s="51" t="s">
        <v>61</v>
      </c>
      <c r="L4" s="50" t="s">
        <v>62</v>
      </c>
      <c r="M4" s="50" t="s">
        <v>63</v>
      </c>
    </row>
    <row r="5" spans="1:13" ht="13.5">
      <c r="A5" s="40" t="s">
        <v>5</v>
      </c>
      <c r="B5" s="35">
        <f aca="true" t="shared" si="0" ref="B5:G5">B9+B13</f>
        <v>10997338.2785098</v>
      </c>
      <c r="C5" s="35">
        <f t="shared" si="0"/>
        <v>11238007.02642344</v>
      </c>
      <c r="D5" s="35">
        <v>11219050.90299623</v>
      </c>
      <c r="E5" s="35">
        <f t="shared" si="0"/>
        <v>11601806.30142</v>
      </c>
      <c r="F5" s="35">
        <f t="shared" si="0"/>
        <v>10886545.46523714</v>
      </c>
      <c r="G5" s="35">
        <f t="shared" si="0"/>
        <v>11114386.83594056</v>
      </c>
      <c r="H5" s="35">
        <v>11291509.434315633</v>
      </c>
      <c r="I5" s="35">
        <f>I9+I13</f>
        <v>11459796.642561238</v>
      </c>
      <c r="J5" s="35">
        <f>J9+J13</f>
        <v>11566033.357348057</v>
      </c>
      <c r="K5" s="35">
        <f>K9+K13</f>
        <v>11492393.879779438</v>
      </c>
      <c r="L5" s="35">
        <f>L9+L13</f>
        <v>11582511.030943815</v>
      </c>
      <c r="M5" s="35">
        <f>M9+M13</f>
        <v>12051118.38684334</v>
      </c>
    </row>
    <row r="6" spans="1:13" ht="13.5">
      <c r="A6" s="45" t="s">
        <v>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3.5">
      <c r="A7" s="46" t="s">
        <v>10</v>
      </c>
      <c r="B7" s="38">
        <f aca="true" t="shared" si="1" ref="B7:G8">B11+B15</f>
        <v>82645.7115</v>
      </c>
      <c r="C7" s="38">
        <f t="shared" si="1"/>
        <v>82488.91143</v>
      </c>
      <c r="D7" s="38">
        <v>82256.96087</v>
      </c>
      <c r="E7" s="38">
        <f t="shared" si="1"/>
        <v>82057.87942</v>
      </c>
      <c r="F7" s="38">
        <f t="shared" si="1"/>
        <v>81915.10779000001</v>
      </c>
      <c r="G7" s="38">
        <f t="shared" si="1"/>
        <v>81752.68075</v>
      </c>
      <c r="H7" s="38">
        <v>81554.28208000002</v>
      </c>
      <c r="I7" s="38">
        <f aca="true" t="shared" si="2" ref="I7:M8">I11+I15</f>
        <v>81382.90398</v>
      </c>
      <c r="J7" s="38">
        <f t="shared" si="2"/>
        <v>81204.08467</v>
      </c>
      <c r="K7" s="38">
        <f t="shared" si="2"/>
        <v>80993.64787</v>
      </c>
      <c r="L7" s="38">
        <f t="shared" si="2"/>
        <v>80882.43935000002</v>
      </c>
      <c r="M7" s="38">
        <f t="shared" si="2"/>
        <v>80760.17653</v>
      </c>
    </row>
    <row r="8" spans="1:13" ht="13.5">
      <c r="A8" s="46" t="s">
        <v>68</v>
      </c>
      <c r="B8" s="38">
        <f>B12+B16</f>
        <v>10914692.5670098</v>
      </c>
      <c r="C8" s="38">
        <f t="shared" si="1"/>
        <v>11155518.11499344</v>
      </c>
      <c r="D8" s="38">
        <v>11136793.942126233</v>
      </c>
      <c r="E8" s="38">
        <f t="shared" si="1"/>
        <v>11519748.421999998</v>
      </c>
      <c r="F8" s="38">
        <f>F12+F16</f>
        <v>10804630.357447142</v>
      </c>
      <c r="G8" s="38">
        <f>G12+G16</f>
        <v>11032634.155190561</v>
      </c>
      <c r="H8" s="38">
        <v>11209955.15223563</v>
      </c>
      <c r="I8" s="38">
        <f t="shared" si="2"/>
        <v>11378413.738581238</v>
      </c>
      <c r="J8" s="38">
        <f t="shared" si="2"/>
        <v>11484829.272678057</v>
      </c>
      <c r="K8" s="38">
        <f t="shared" si="2"/>
        <v>11411400.231909437</v>
      </c>
      <c r="L8" s="38">
        <f t="shared" si="2"/>
        <v>11501628.591593815</v>
      </c>
      <c r="M8" s="38">
        <f t="shared" si="2"/>
        <v>11970358.21031334</v>
      </c>
    </row>
    <row r="9" spans="1:13" ht="14.25" customHeight="1">
      <c r="A9" s="40" t="s">
        <v>12</v>
      </c>
      <c r="B9" s="35">
        <f aca="true" t="shared" si="3" ref="B9:G9">B11+B12</f>
        <v>6458416.81044415</v>
      </c>
      <c r="C9" s="35">
        <f t="shared" si="3"/>
        <v>6611164.96728185</v>
      </c>
      <c r="D9" s="35">
        <v>6871936.807545922</v>
      </c>
      <c r="E9" s="35">
        <f t="shared" si="3"/>
        <v>7179329.91864864</v>
      </c>
      <c r="F9" s="35">
        <f t="shared" si="3"/>
        <v>7198989.576578741</v>
      </c>
      <c r="G9" s="35">
        <f t="shared" si="3"/>
        <v>7356759.692903145</v>
      </c>
      <c r="H9" s="35">
        <v>7502151.776115321</v>
      </c>
      <c r="I9" s="35">
        <f>I11+I12</f>
        <v>7711871.43546465</v>
      </c>
      <c r="J9" s="35">
        <f>J11+J12</f>
        <v>7793004.668898294</v>
      </c>
      <c r="K9" s="35">
        <f>K11+K12</f>
        <v>7707612.80661001</v>
      </c>
      <c r="L9" s="35">
        <f>L11+L12</f>
        <v>7751298.071630079</v>
      </c>
      <c r="M9" s="35">
        <f>M11+M12</f>
        <v>8089459.75487001</v>
      </c>
    </row>
    <row r="10" spans="1:13" ht="13.5">
      <c r="A10" s="47" t="s">
        <v>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3.5">
      <c r="A11" s="46" t="s">
        <v>10</v>
      </c>
      <c r="B11" s="38">
        <v>82645.7115</v>
      </c>
      <c r="C11" s="38">
        <v>82488.91143</v>
      </c>
      <c r="D11" s="38">
        <v>82256.96087</v>
      </c>
      <c r="E11" s="38">
        <v>82057.87942</v>
      </c>
      <c r="F11" s="38">
        <v>81915.10779000001</v>
      </c>
      <c r="G11" s="38">
        <v>81752.68075</v>
      </c>
      <c r="H11" s="38">
        <v>81554.28208000002</v>
      </c>
      <c r="I11" s="38">
        <v>81382.90398</v>
      </c>
      <c r="J11" s="38">
        <v>81204.08467</v>
      </c>
      <c r="K11" s="38">
        <v>80993.64787</v>
      </c>
      <c r="L11" s="38">
        <v>80882.43935000002</v>
      </c>
      <c r="M11" s="38">
        <v>80760.17653</v>
      </c>
    </row>
    <row r="12" spans="1:13" ht="13.5">
      <c r="A12" s="46" t="s">
        <v>68</v>
      </c>
      <c r="B12" s="38">
        <v>6375771.09894415</v>
      </c>
      <c r="C12" s="38">
        <v>6528676.05585185</v>
      </c>
      <c r="D12" s="38">
        <v>6789679.846675922</v>
      </c>
      <c r="E12" s="38">
        <v>7097272.03922864</v>
      </c>
      <c r="F12" s="38">
        <v>7117074.468788741</v>
      </c>
      <c r="G12" s="38">
        <v>7275007.012153145</v>
      </c>
      <c r="H12" s="38">
        <v>7420597.49403532</v>
      </c>
      <c r="I12" s="38">
        <v>7630488.53148465</v>
      </c>
      <c r="J12" s="38">
        <v>7711800.584228294</v>
      </c>
      <c r="K12" s="38">
        <v>7626619.158740009</v>
      </c>
      <c r="L12" s="38">
        <v>7670415.63228008</v>
      </c>
      <c r="M12" s="38">
        <v>8008699.57834001</v>
      </c>
    </row>
    <row r="13" spans="1:13" ht="13.5">
      <c r="A13" s="40" t="s">
        <v>14</v>
      </c>
      <c r="B13" s="35">
        <f aca="true" t="shared" si="4" ref="B13:G13">B15+B16</f>
        <v>4538921.46806565</v>
      </c>
      <c r="C13" s="35">
        <f t="shared" si="4"/>
        <v>4626842.05914159</v>
      </c>
      <c r="D13" s="35">
        <v>4347114.09545031</v>
      </c>
      <c r="E13" s="35">
        <f t="shared" si="4"/>
        <v>4422476.38277136</v>
      </c>
      <c r="F13" s="35">
        <f t="shared" si="4"/>
        <v>3687555.8886584006</v>
      </c>
      <c r="G13" s="35">
        <f t="shared" si="4"/>
        <v>3757627.1430374156</v>
      </c>
      <c r="H13" s="35">
        <v>3789357.6582003115</v>
      </c>
      <c r="I13" s="35">
        <f>I15+I16</f>
        <v>3747925.2070965883</v>
      </c>
      <c r="J13" s="35">
        <f>J15+J16</f>
        <v>3773028.688449763</v>
      </c>
      <c r="K13" s="35">
        <f>K15+K16</f>
        <v>3784781.0731694275</v>
      </c>
      <c r="L13" s="35">
        <f>L15+L16</f>
        <v>3831212.959313735</v>
      </c>
      <c r="M13" s="35">
        <f>M15+M16</f>
        <v>3961658.631973331</v>
      </c>
    </row>
    <row r="14" spans="1:13" ht="13.5">
      <c r="A14" s="45" t="s">
        <v>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13.5">
      <c r="A15" s="46" t="s">
        <v>10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</row>
    <row r="16" spans="1:13" ht="13.5">
      <c r="A16" s="46" t="s">
        <v>68</v>
      </c>
      <c r="B16" s="38">
        <v>4538921.46806565</v>
      </c>
      <c r="C16" s="38">
        <v>4626842.05914159</v>
      </c>
      <c r="D16" s="38">
        <v>4347114.09545031</v>
      </c>
      <c r="E16" s="38">
        <v>4422476.38277136</v>
      </c>
      <c r="F16" s="38">
        <v>3687555.8886584006</v>
      </c>
      <c r="G16" s="38">
        <v>3757627.1430374156</v>
      </c>
      <c r="H16" s="38">
        <v>3789357.6582003115</v>
      </c>
      <c r="I16" s="38">
        <v>3747925.2070965883</v>
      </c>
      <c r="J16" s="38">
        <v>3773028.688449763</v>
      </c>
      <c r="K16" s="38">
        <v>3784781.0731694275</v>
      </c>
      <c r="L16" s="38">
        <v>3831212.959313735</v>
      </c>
      <c r="M16" s="38">
        <v>3961658.631973331</v>
      </c>
    </row>
    <row r="17" spans="1:2" ht="15">
      <c r="A17" s="48"/>
      <c r="B17" s="48"/>
    </row>
    <row r="18" spans="2:13" ht="12"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</row>
    <row r="19" spans="2:13" ht="12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</row>
    <row r="20" spans="2:13" ht="12"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spans="2:13" ht="12"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</row>
    <row r="22" spans="2:13" ht="12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</row>
    <row r="23" spans="2:13" ht="12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2:13" ht="12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2:13" ht="12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</row>
    <row r="26" spans="2:13" ht="12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</row>
    <row r="27" spans="2:13" ht="12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  <row r="28" spans="2:13" ht="12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2:13" ht="12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2:13" ht="12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</row>
    <row r="31" spans="2:13" ht="12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spans="2:13" ht="12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</row>
  </sheetData>
  <sheetProtection/>
  <mergeCells count="3">
    <mergeCell ref="A1:M1"/>
    <mergeCell ref="A2:M2"/>
    <mergeCell ref="B3:M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zoomScale="85" zoomScaleNormal="85" zoomScalePageLayoutView="0" workbookViewId="0" topLeftCell="A1">
      <selection activeCell="A16" sqref="A16"/>
    </sheetView>
  </sheetViews>
  <sheetFormatPr defaultColWidth="9.25390625" defaultRowHeight="12.75"/>
  <cols>
    <col min="1" max="1" width="42.00390625" style="49" customWidth="1"/>
    <col min="2" max="2" width="9.50390625" style="49" customWidth="1"/>
    <col min="3" max="16384" width="9.25390625" style="49" customWidth="1"/>
  </cols>
  <sheetData>
    <row r="1" spans="1:13" ht="37.5" customHeight="1">
      <c r="A1" s="58" t="s">
        <v>33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8.75" customHeight="1">
      <c r="A2" s="63" t="s">
        <v>55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5" customHeight="1">
      <c r="A3" s="44" t="s">
        <v>0</v>
      </c>
      <c r="B3" s="60">
        <v>2020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</row>
    <row r="4" spans="1:13" ht="20.25" customHeight="1">
      <c r="A4" s="44" t="s">
        <v>1</v>
      </c>
      <c r="B4" s="50" t="s">
        <v>64</v>
      </c>
      <c r="C4" s="50" t="s">
        <v>65</v>
      </c>
      <c r="D4" s="50" t="s">
        <v>66</v>
      </c>
      <c r="E4" s="50" t="s">
        <v>67</v>
      </c>
      <c r="F4" s="50" t="s">
        <v>44</v>
      </c>
      <c r="G4" s="50" t="s">
        <v>45</v>
      </c>
      <c r="H4" s="50" t="s">
        <v>46</v>
      </c>
      <c r="I4" s="50" t="s">
        <v>59</v>
      </c>
      <c r="J4" s="50" t="s">
        <v>60</v>
      </c>
      <c r="K4" s="51" t="s">
        <v>61</v>
      </c>
      <c r="L4" s="50" t="s">
        <v>62</v>
      </c>
      <c r="M4" s="50" t="s">
        <v>63</v>
      </c>
    </row>
    <row r="5" spans="1:13" ht="13.5">
      <c r="A5" s="40" t="s">
        <v>5</v>
      </c>
      <c r="B5" s="35">
        <v>9739011</v>
      </c>
      <c r="C5" s="35">
        <v>9901132.49036163</v>
      </c>
      <c r="D5" s="35">
        <v>10278118.144901473</v>
      </c>
      <c r="E5" s="35">
        <v>10189037</v>
      </c>
      <c r="F5" s="35">
        <f>F9+F13</f>
        <v>9950986.00791616</v>
      </c>
      <c r="G5" s="35">
        <f>G9+G13</f>
        <v>9789551.72561814</v>
      </c>
      <c r="H5" s="35">
        <f>H9+H13</f>
        <v>10034087.473507456</v>
      </c>
      <c r="I5" s="35">
        <f>I9+I13</f>
        <v>10126855.402380776</v>
      </c>
      <c r="J5" s="35">
        <f>J9+J13</f>
        <v>10402477.810320035</v>
      </c>
      <c r="K5" s="35">
        <v>10341111.539907977</v>
      </c>
      <c r="L5" s="35">
        <f>L9+L13</f>
        <v>10599352.39469999</v>
      </c>
      <c r="M5" s="35">
        <f>M9+M13</f>
        <v>10965356.53631381</v>
      </c>
    </row>
    <row r="6" spans="1:13" ht="13.5">
      <c r="A6" s="45" t="s">
        <v>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3.5">
      <c r="A7" s="46" t="s">
        <v>10</v>
      </c>
      <c r="B7" s="38">
        <f aca="true" t="shared" si="0" ref="B7:J8">B11+B15</f>
        <v>85982.60876</v>
      </c>
      <c r="C7" s="38">
        <f t="shared" si="0"/>
        <v>85609.01223</v>
      </c>
      <c r="D7" s="38">
        <f t="shared" si="0"/>
        <v>85009.63944999999</v>
      </c>
      <c r="E7" s="38">
        <f t="shared" si="0"/>
        <v>84763.76531</v>
      </c>
      <c r="F7" s="38">
        <f t="shared" si="0"/>
        <v>84568.9327</v>
      </c>
      <c r="G7" s="38">
        <f t="shared" si="0"/>
        <v>84318.50633</v>
      </c>
      <c r="H7" s="38">
        <f t="shared" si="0"/>
        <v>84082.59983</v>
      </c>
      <c r="I7" s="38">
        <f t="shared" si="0"/>
        <v>83876.24</v>
      </c>
      <c r="J7" s="38">
        <f t="shared" si="0"/>
        <v>83637.07451</v>
      </c>
      <c r="K7" s="38">
        <v>83418.32493</v>
      </c>
      <c r="L7" s="38">
        <f>L11+L15</f>
        <v>83181.46046</v>
      </c>
      <c r="M7" s="38">
        <f>M11+M15</f>
        <v>82831.69635</v>
      </c>
    </row>
    <row r="8" spans="1:13" ht="13.5">
      <c r="A8" s="46" t="s">
        <v>68</v>
      </c>
      <c r="B8" s="38">
        <f t="shared" si="0"/>
        <v>9653028.830141205</v>
      </c>
      <c r="C8" s="38">
        <f t="shared" si="0"/>
        <v>9815523.47813163</v>
      </c>
      <c r="D8" s="38">
        <f t="shared" si="0"/>
        <v>10193108.505451474</v>
      </c>
      <c r="E8" s="38">
        <f t="shared" si="0"/>
        <v>10104273.18835674</v>
      </c>
      <c r="F8" s="38">
        <f t="shared" si="0"/>
        <v>9866417.075216161</v>
      </c>
      <c r="G8" s="38">
        <f t="shared" si="0"/>
        <v>9705233.21928814</v>
      </c>
      <c r="H8" s="38">
        <f t="shared" si="0"/>
        <v>9950004.873677455</v>
      </c>
      <c r="I8" s="38">
        <f t="shared" si="0"/>
        <v>10042979.162380774</v>
      </c>
      <c r="J8" s="38">
        <f t="shared" si="0"/>
        <v>10318840.735810036</v>
      </c>
      <c r="K8" s="38">
        <v>10257693.214977978</v>
      </c>
      <c r="L8" s="38">
        <f>L12+L16</f>
        <v>10516170.934239991</v>
      </c>
      <c r="M8" s="38">
        <f>M12+M16</f>
        <v>10882524.839963809</v>
      </c>
    </row>
    <row r="9" spans="1:13" ht="14.25" customHeight="1">
      <c r="A9" s="40" t="s">
        <v>12</v>
      </c>
      <c r="B9" s="35">
        <f>B11+B12</f>
        <v>4954428.28309</v>
      </c>
      <c r="C9" s="35">
        <f aca="true" t="shared" si="1" ref="C9:H9">C11+C12</f>
        <v>5117941.330046</v>
      </c>
      <c r="D9" s="35">
        <f t="shared" si="1"/>
        <v>5234222.54515</v>
      </c>
      <c r="E9" s="35">
        <f t="shared" si="1"/>
        <v>5211028.17233191</v>
      </c>
      <c r="F9" s="35">
        <f t="shared" si="1"/>
        <v>5060429.720357071</v>
      </c>
      <c r="G9" s="35">
        <f t="shared" si="1"/>
        <v>4968330.695775352</v>
      </c>
      <c r="H9" s="35">
        <f t="shared" si="1"/>
        <v>5227455.752760001</v>
      </c>
      <c r="I9" s="35">
        <f>I11+I12</f>
        <v>5318487.317546705</v>
      </c>
      <c r="J9" s="35">
        <f>J11+J12</f>
        <v>5494202.403819008</v>
      </c>
      <c r="K9" s="35">
        <v>5694706.654764696</v>
      </c>
      <c r="L9" s="35">
        <f>L11+L12</f>
        <v>5729670.12242414</v>
      </c>
      <c r="M9" s="35">
        <f>M11+M12</f>
        <v>6370539.54333316</v>
      </c>
    </row>
    <row r="10" spans="1:13" ht="13.5">
      <c r="A10" s="47" t="s">
        <v>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3.5">
      <c r="A11" s="46" t="s">
        <v>10</v>
      </c>
      <c r="B11" s="38">
        <v>85982.60876</v>
      </c>
      <c r="C11" s="38">
        <v>85609.01223</v>
      </c>
      <c r="D11" s="38">
        <v>85009.63944999999</v>
      </c>
      <c r="E11" s="38">
        <v>84763.76531</v>
      </c>
      <c r="F11" s="38">
        <v>84568.9327</v>
      </c>
      <c r="G11" s="38">
        <v>84318.50633</v>
      </c>
      <c r="H11" s="38">
        <v>84082.59983</v>
      </c>
      <c r="I11" s="38">
        <v>83876.24</v>
      </c>
      <c r="J11" s="38">
        <v>83637.07451</v>
      </c>
      <c r="K11" s="38">
        <v>83418.32493</v>
      </c>
      <c r="L11" s="38">
        <v>83181.46046</v>
      </c>
      <c r="M11" s="38">
        <v>82831.69635</v>
      </c>
    </row>
    <row r="12" spans="1:13" ht="13.5">
      <c r="A12" s="46" t="s">
        <v>68</v>
      </c>
      <c r="B12" s="38">
        <v>4868445.67433</v>
      </c>
      <c r="C12" s="38">
        <v>5032332.317816</v>
      </c>
      <c r="D12" s="38">
        <v>5149212.9057</v>
      </c>
      <c r="E12" s="38">
        <v>5126264.40702191</v>
      </c>
      <c r="F12" s="38">
        <v>4975860.787657071</v>
      </c>
      <c r="G12" s="38">
        <v>4884012.189445352</v>
      </c>
      <c r="H12" s="38">
        <v>5143373.152930002</v>
      </c>
      <c r="I12" s="38">
        <v>5234611.077546705</v>
      </c>
      <c r="J12" s="38">
        <v>5410565.329309008</v>
      </c>
      <c r="K12" s="38">
        <v>5611288.329834696</v>
      </c>
      <c r="L12" s="38">
        <v>5646488.66196414</v>
      </c>
      <c r="M12" s="38">
        <v>6287707.84698316</v>
      </c>
    </row>
    <row r="13" spans="1:13" ht="13.5">
      <c r="A13" s="40" t="s">
        <v>14</v>
      </c>
      <c r="B13" s="35">
        <f>B15+B16</f>
        <v>4784583.155811205</v>
      </c>
      <c r="C13" s="35">
        <f aca="true" t="shared" si="2" ref="C13:H13">C15+C16</f>
        <v>4783191.16031563</v>
      </c>
      <c r="D13" s="35">
        <f t="shared" si="2"/>
        <v>5043895.599751473</v>
      </c>
      <c r="E13" s="35">
        <f t="shared" si="2"/>
        <v>4978008.78133483</v>
      </c>
      <c r="F13" s="35">
        <f t="shared" si="2"/>
        <v>4890556.28755909</v>
      </c>
      <c r="G13" s="35">
        <f t="shared" si="2"/>
        <v>4821221.029842788</v>
      </c>
      <c r="H13" s="35">
        <f t="shared" si="2"/>
        <v>4806631.720747454</v>
      </c>
      <c r="I13" s="35">
        <f>I15+I16</f>
        <v>4808368.08483407</v>
      </c>
      <c r="J13" s="35">
        <f>J15+J16</f>
        <v>4908275.406501028</v>
      </c>
      <c r="K13" s="35">
        <v>4646404.885143282</v>
      </c>
      <c r="L13" s="35">
        <f>L15+L16</f>
        <v>4869682.27227585</v>
      </c>
      <c r="M13" s="35">
        <f>M15+M16</f>
        <v>4594816.99298065</v>
      </c>
    </row>
    <row r="14" spans="1:13" ht="13.5">
      <c r="A14" s="45" t="s">
        <v>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13.5">
      <c r="A15" s="46" t="s">
        <v>10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</row>
    <row r="16" spans="1:13" ht="13.5">
      <c r="A16" s="46" t="s">
        <v>68</v>
      </c>
      <c r="B16" s="38">
        <v>4784583.155811205</v>
      </c>
      <c r="C16" s="38">
        <v>4783191.16031563</v>
      </c>
      <c r="D16" s="38">
        <v>5043895.599751473</v>
      </c>
      <c r="E16" s="38">
        <v>4978008.78133483</v>
      </c>
      <c r="F16" s="38">
        <v>4890556.28755909</v>
      </c>
      <c r="G16" s="38">
        <v>4821221.029842788</v>
      </c>
      <c r="H16" s="38">
        <v>4806631.720747454</v>
      </c>
      <c r="I16" s="38">
        <v>4808368.08483407</v>
      </c>
      <c r="J16" s="38">
        <v>4908275.406501028</v>
      </c>
      <c r="K16" s="38">
        <v>4646404.885143282</v>
      </c>
      <c r="L16" s="38">
        <f>4869682272.27585/1000</f>
        <v>4869682.27227585</v>
      </c>
      <c r="M16" s="38">
        <v>4594816.99298065</v>
      </c>
    </row>
    <row r="17" spans="1:2" ht="15">
      <c r="A17" s="48"/>
      <c r="B17" s="48"/>
    </row>
    <row r="18" spans="2:13" ht="12"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</row>
    <row r="19" spans="2:13" ht="12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</row>
    <row r="20" spans="2:13" ht="12"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spans="2:13" ht="12"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</row>
    <row r="22" spans="2:13" ht="12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</row>
    <row r="23" spans="2:13" ht="12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2:13" ht="12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2:13" ht="12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</row>
    <row r="26" spans="2:13" ht="12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</row>
    <row r="27" spans="2:13" ht="12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  <row r="28" spans="2:13" ht="12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2:13" ht="12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2:13" ht="12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</row>
    <row r="31" spans="2:13" ht="12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spans="2:13" ht="12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</row>
  </sheetData>
  <sheetProtection/>
  <mergeCells count="3">
    <mergeCell ref="B3:M3"/>
    <mergeCell ref="A2:M2"/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B3" sqref="B3:M3"/>
    </sheetView>
  </sheetViews>
  <sheetFormatPr defaultColWidth="9.25390625" defaultRowHeight="12.75"/>
  <cols>
    <col min="1" max="1" width="42.00390625" style="49" customWidth="1"/>
    <col min="2" max="2" width="9.50390625" style="49" customWidth="1"/>
    <col min="3" max="16384" width="9.25390625" style="49" customWidth="1"/>
  </cols>
  <sheetData>
    <row r="1" spans="1:10" ht="37.5" customHeight="1">
      <c r="A1" s="58" t="s">
        <v>56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8.75" customHeight="1">
      <c r="A2" s="59" t="s">
        <v>55</v>
      </c>
      <c r="B2" s="64"/>
      <c r="C2" s="64"/>
      <c r="D2" s="64"/>
      <c r="E2" s="64"/>
      <c r="F2" s="64"/>
      <c r="G2" s="64"/>
      <c r="H2" s="64"/>
      <c r="I2" s="64"/>
      <c r="J2" s="64"/>
    </row>
    <row r="3" spans="1:13" ht="15" customHeight="1">
      <c r="A3" s="44" t="s">
        <v>0</v>
      </c>
      <c r="B3" s="60">
        <v>2019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</row>
    <row r="4" spans="1:13" ht="20.25" customHeight="1">
      <c r="A4" s="44" t="s">
        <v>1</v>
      </c>
      <c r="B4" s="50" t="s">
        <v>40</v>
      </c>
      <c r="C4" s="50" t="s">
        <v>41</v>
      </c>
      <c r="D4" s="50" t="s">
        <v>42</v>
      </c>
      <c r="E4" s="50" t="s">
        <v>43</v>
      </c>
      <c r="F4" s="50" t="s">
        <v>44</v>
      </c>
      <c r="G4" s="50" t="s">
        <v>54</v>
      </c>
      <c r="H4" s="50" t="s">
        <v>57</v>
      </c>
      <c r="I4" s="50" t="s">
        <v>47</v>
      </c>
      <c r="J4" s="50" t="s">
        <v>48</v>
      </c>
      <c r="K4" s="51" t="s">
        <v>49</v>
      </c>
      <c r="L4" s="50" t="s">
        <v>58</v>
      </c>
      <c r="M4" s="50" t="s">
        <v>51</v>
      </c>
    </row>
    <row r="5" spans="1:13" ht="13.5">
      <c r="A5" s="40" t="s">
        <v>5</v>
      </c>
      <c r="B5" s="35">
        <v>8751106.983357623</v>
      </c>
      <c r="C5" s="35">
        <v>8754814.5007739</v>
      </c>
      <c r="D5" s="35">
        <v>8844864.047433417</v>
      </c>
      <c r="E5" s="35">
        <v>8786771.194907008</v>
      </c>
      <c r="F5" s="35">
        <v>8771395.831602274</v>
      </c>
      <c r="G5" s="35">
        <v>8935780.652918722</v>
      </c>
      <c r="H5" s="35">
        <v>9082687</v>
      </c>
      <c r="I5" s="35">
        <v>9218907.97859823</v>
      </c>
      <c r="J5" s="35">
        <f>J9+J13</f>
        <v>9235926.29702944</v>
      </c>
      <c r="K5" s="35">
        <f>K9+K13</f>
        <v>9241446.05185284</v>
      </c>
      <c r="L5" s="35">
        <f>L9+L13</f>
        <v>9348996.290919743</v>
      </c>
      <c r="M5" s="35">
        <v>9789508.581723142</v>
      </c>
    </row>
    <row r="6" spans="1:13" ht="13.5">
      <c r="A6" s="45" t="s">
        <v>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3.5">
      <c r="A7" s="46" t="s">
        <v>10</v>
      </c>
      <c r="B7" s="38">
        <v>93656.56672</v>
      </c>
      <c r="C7" s="38">
        <v>93237.42833000001</v>
      </c>
      <c r="D7" s="38">
        <v>92630.53412000001</v>
      </c>
      <c r="E7" s="38">
        <v>92072.17041</v>
      </c>
      <c r="F7" s="38">
        <v>90917.33473</v>
      </c>
      <c r="G7" s="38">
        <v>89824.46283000002</v>
      </c>
      <c r="H7" s="38">
        <v>89118</v>
      </c>
      <c r="I7" s="38">
        <v>88548.78896</v>
      </c>
      <c r="J7" s="38">
        <f aca="true" t="shared" si="0" ref="J7:L8">J11+J15</f>
        <v>88035.33504</v>
      </c>
      <c r="K7" s="38">
        <f t="shared" si="0"/>
        <v>87641.39686000001</v>
      </c>
      <c r="L7" s="38">
        <f t="shared" si="0"/>
        <v>87204.61873</v>
      </c>
      <c r="M7" s="38">
        <v>86255.2207</v>
      </c>
    </row>
    <row r="8" spans="1:13" ht="13.5">
      <c r="A8" s="46" t="s">
        <v>11</v>
      </c>
      <c r="B8" s="38">
        <v>8657450.416637624</v>
      </c>
      <c r="C8" s="38">
        <v>8661577.072443899</v>
      </c>
      <c r="D8" s="38">
        <v>8752233.513313418</v>
      </c>
      <c r="E8" s="38">
        <v>8694699.024497008</v>
      </c>
      <c r="F8" s="38">
        <v>8680478.496872274</v>
      </c>
      <c r="G8" s="38">
        <v>8845956.190088723</v>
      </c>
      <c r="H8" s="38">
        <v>8993569</v>
      </c>
      <c r="I8" s="38">
        <v>9130359.189638231</v>
      </c>
      <c r="J8" s="38">
        <f t="shared" si="0"/>
        <v>9147890.96198944</v>
      </c>
      <c r="K8" s="38">
        <f t="shared" si="0"/>
        <v>9153804.654992841</v>
      </c>
      <c r="L8" s="38">
        <f t="shared" si="0"/>
        <v>9261791.672189742</v>
      </c>
      <c r="M8" s="38">
        <v>9703253.361023143</v>
      </c>
    </row>
    <row r="9" spans="1:13" ht="14.25" customHeight="1">
      <c r="A9" s="40" t="s">
        <v>12</v>
      </c>
      <c r="B9" s="35">
        <v>3959106.03795</v>
      </c>
      <c r="C9" s="35">
        <v>3995093.9471200006</v>
      </c>
      <c r="D9" s="35">
        <v>4083619.1063400004</v>
      </c>
      <c r="E9" s="35">
        <v>4187838.18187</v>
      </c>
      <c r="F9" s="35">
        <v>4195419.43109</v>
      </c>
      <c r="G9" s="35">
        <v>4457978.32178</v>
      </c>
      <c r="H9" s="35">
        <v>4592170</v>
      </c>
      <c r="I9" s="35">
        <v>4671549.941799999</v>
      </c>
      <c r="J9" s="35">
        <f>J11+J12</f>
        <v>4703519.394040001</v>
      </c>
      <c r="K9" s="35">
        <f>K11+K12</f>
        <v>4681210.541680001</v>
      </c>
      <c r="L9" s="35">
        <f>L11+L12</f>
        <v>4757087.5269100005</v>
      </c>
      <c r="M9" s="35">
        <v>5021086.3417225545</v>
      </c>
    </row>
    <row r="10" spans="1:13" ht="13.5">
      <c r="A10" s="47" t="s">
        <v>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3.5">
      <c r="A11" s="46" t="s">
        <v>10</v>
      </c>
      <c r="B11" s="38">
        <v>93656.56672</v>
      </c>
      <c r="C11" s="38">
        <v>93237.42833000001</v>
      </c>
      <c r="D11" s="38">
        <v>92630.53412000001</v>
      </c>
      <c r="E11" s="38">
        <v>92072.17041</v>
      </c>
      <c r="F11" s="38">
        <v>90917.33473</v>
      </c>
      <c r="G11" s="38">
        <v>89824.46283000002</v>
      </c>
      <c r="H11" s="38">
        <v>89118</v>
      </c>
      <c r="I11" s="38">
        <v>88548.78896</v>
      </c>
      <c r="J11" s="38">
        <v>88035.33504</v>
      </c>
      <c r="K11" s="38">
        <v>87641.39686000001</v>
      </c>
      <c r="L11" s="38">
        <v>87204.61873</v>
      </c>
      <c r="M11" s="38">
        <v>86255.2207</v>
      </c>
    </row>
    <row r="12" spans="1:13" ht="13.5">
      <c r="A12" s="46" t="s">
        <v>11</v>
      </c>
      <c r="B12" s="38">
        <v>3865449.47123</v>
      </c>
      <c r="C12" s="38">
        <v>3901856.5187900006</v>
      </c>
      <c r="D12" s="38">
        <v>3990988.5722200004</v>
      </c>
      <c r="E12" s="38">
        <v>4095766.01146</v>
      </c>
      <c r="F12" s="38">
        <v>4104502.0963600003</v>
      </c>
      <c r="G12" s="38">
        <v>4368153.85895</v>
      </c>
      <c r="H12" s="38">
        <v>4503053</v>
      </c>
      <c r="I12" s="38">
        <v>4583001.15284</v>
      </c>
      <c r="J12" s="38">
        <v>4615484.059</v>
      </c>
      <c r="K12" s="38">
        <v>4593569.144820001</v>
      </c>
      <c r="L12" s="38">
        <v>4669882.90818</v>
      </c>
      <c r="M12" s="38">
        <v>4934831.121022554</v>
      </c>
    </row>
    <row r="13" spans="1:13" ht="13.5">
      <c r="A13" s="40" t="s">
        <v>14</v>
      </c>
      <c r="B13" s="35">
        <v>4792000.945407623</v>
      </c>
      <c r="C13" s="35">
        <v>4759720.553653898</v>
      </c>
      <c r="D13" s="35">
        <v>4761244.941093418</v>
      </c>
      <c r="E13" s="35">
        <v>4598933.013037007</v>
      </c>
      <c r="F13" s="35">
        <v>4575976.400512273</v>
      </c>
      <c r="G13" s="35">
        <v>4477802.331138723</v>
      </c>
      <c r="H13" s="35">
        <v>4490516</v>
      </c>
      <c r="I13" s="35">
        <v>4547358.036798231</v>
      </c>
      <c r="J13" s="35">
        <f>J15+J16</f>
        <v>4532406.90298944</v>
      </c>
      <c r="K13" s="35">
        <f>K15+K16</f>
        <v>4560235.51017284</v>
      </c>
      <c r="L13" s="35">
        <f>L15+L16</f>
        <v>4591908.764009743</v>
      </c>
      <c r="M13" s="35">
        <v>4768422.240000588</v>
      </c>
    </row>
    <row r="14" spans="1:13" ht="13.5">
      <c r="A14" s="45" t="s">
        <v>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13.5">
      <c r="A15" s="46" t="s">
        <v>10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</row>
    <row r="16" spans="1:13" ht="13.5">
      <c r="A16" s="46" t="s">
        <v>11</v>
      </c>
      <c r="B16" s="38">
        <v>4792000.945407623</v>
      </c>
      <c r="C16" s="38">
        <v>4759720.553653898</v>
      </c>
      <c r="D16" s="38">
        <v>4761244.941093418</v>
      </c>
      <c r="E16" s="38">
        <v>4598933.013037007</v>
      </c>
      <c r="F16" s="38">
        <v>4575976.400512273</v>
      </c>
      <c r="G16" s="38">
        <v>4477802.331138723</v>
      </c>
      <c r="H16" s="38">
        <v>4490516</v>
      </c>
      <c r="I16" s="38">
        <v>4547358.036798231</v>
      </c>
      <c r="J16" s="38">
        <v>4532406.90298944</v>
      </c>
      <c r="K16" s="38">
        <v>4560235.51017284</v>
      </c>
      <c r="L16" s="38">
        <v>4591908.764009743</v>
      </c>
      <c r="M16" s="38">
        <v>4768422.240000588</v>
      </c>
    </row>
    <row r="17" spans="1:2" ht="15">
      <c r="A17" s="48"/>
      <c r="B17" s="48"/>
    </row>
  </sheetData>
  <sheetProtection/>
  <mergeCells count="3">
    <mergeCell ref="A1:J1"/>
    <mergeCell ref="A2:J2"/>
    <mergeCell ref="B3:M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6" sqref="A16"/>
    </sheetView>
  </sheetViews>
  <sheetFormatPr defaultColWidth="9.25390625" defaultRowHeight="12.75"/>
  <cols>
    <col min="1" max="1" width="42.00390625" style="49" customWidth="1"/>
    <col min="2" max="2" width="9.50390625" style="49" customWidth="1"/>
    <col min="3" max="16384" width="9.25390625" style="49" customWidth="1"/>
  </cols>
  <sheetData>
    <row r="1" spans="1:10" ht="37.5" customHeight="1">
      <c r="A1" s="58" t="s">
        <v>56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8.75" customHeight="1">
      <c r="A2" s="59" t="s">
        <v>55</v>
      </c>
      <c r="B2" s="64"/>
      <c r="C2" s="64"/>
      <c r="D2" s="64"/>
      <c r="E2" s="64"/>
      <c r="F2" s="64"/>
      <c r="G2" s="64"/>
      <c r="H2" s="64"/>
      <c r="I2" s="64"/>
      <c r="J2" s="64"/>
    </row>
    <row r="3" spans="1:13" ht="15" customHeight="1">
      <c r="A3" s="44" t="s">
        <v>0</v>
      </c>
      <c r="B3" s="60">
        <v>2018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</row>
    <row r="4" spans="1:13" ht="20.25" customHeight="1">
      <c r="A4" s="44" t="s">
        <v>1</v>
      </c>
      <c r="B4" s="50" t="s">
        <v>40</v>
      </c>
      <c r="C4" s="50" t="s">
        <v>41</v>
      </c>
      <c r="D4" s="50" t="s">
        <v>42</v>
      </c>
      <c r="E4" s="50" t="s">
        <v>43</v>
      </c>
      <c r="F4" s="50" t="s">
        <v>44</v>
      </c>
      <c r="G4" s="50" t="s">
        <v>54</v>
      </c>
      <c r="H4" s="50" t="s">
        <v>57</v>
      </c>
      <c r="I4" s="50" t="s">
        <v>47</v>
      </c>
      <c r="J4" s="50" t="s">
        <v>48</v>
      </c>
      <c r="K4" s="51" t="s">
        <v>49</v>
      </c>
      <c r="L4" s="50" t="s">
        <v>58</v>
      </c>
      <c r="M4" s="50" t="s">
        <v>51</v>
      </c>
    </row>
    <row r="5" spans="1:13" ht="13.5">
      <c r="A5" s="40" t="s">
        <v>5</v>
      </c>
      <c r="B5" s="35">
        <f aca="true" t="shared" si="0" ref="B5:I5">B9+B13</f>
        <v>8546799</v>
      </c>
      <c r="C5" s="35">
        <f t="shared" si="0"/>
        <v>8549305</v>
      </c>
      <c r="D5" s="35">
        <f t="shared" si="0"/>
        <v>8204782.6</v>
      </c>
      <c r="E5" s="35">
        <f t="shared" si="0"/>
        <v>8309702.1</v>
      </c>
      <c r="F5" s="35">
        <f t="shared" si="0"/>
        <v>8403361</v>
      </c>
      <c r="G5" s="35">
        <f t="shared" si="0"/>
        <v>8476378.082895543</v>
      </c>
      <c r="H5" s="35">
        <f t="shared" si="0"/>
        <v>8580242.53006715</v>
      </c>
      <c r="I5" s="35">
        <f t="shared" si="0"/>
        <v>8609806.288056653</v>
      </c>
      <c r="J5" s="35">
        <v>8638645.477639452</v>
      </c>
      <c r="K5" s="35">
        <f>K9+K13</f>
        <v>8733969.33522839</v>
      </c>
      <c r="L5" s="35">
        <f>L9+L13</f>
        <v>8778451.457406584</v>
      </c>
      <c r="M5" s="35">
        <f>M9+M13</f>
        <v>8741361.272791408</v>
      </c>
    </row>
    <row r="6" spans="1:13" ht="13.5">
      <c r="A6" s="45" t="s">
        <v>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3.5">
      <c r="A7" s="46" t="s">
        <v>10</v>
      </c>
      <c r="B7" s="38">
        <f aca="true" t="shared" si="1" ref="B7:I8">B11+B15</f>
        <v>100501</v>
      </c>
      <c r="C7" s="38">
        <f t="shared" si="1"/>
        <v>100056</v>
      </c>
      <c r="D7" s="38">
        <f t="shared" si="1"/>
        <v>99428.6</v>
      </c>
      <c r="E7" s="38">
        <f t="shared" si="1"/>
        <v>98937.1</v>
      </c>
      <c r="F7" s="38">
        <f t="shared" si="1"/>
        <v>98379</v>
      </c>
      <c r="G7" s="38">
        <f t="shared" si="1"/>
        <v>97804.42134</v>
      </c>
      <c r="H7" s="38">
        <f t="shared" si="1"/>
        <v>97290.95637</v>
      </c>
      <c r="I7" s="38">
        <f t="shared" si="1"/>
        <v>96762.90738</v>
      </c>
      <c r="J7" s="38">
        <v>96132.07212000001</v>
      </c>
      <c r="K7" s="38">
        <f aca="true" t="shared" si="2" ref="K7:M8">K11+K15</f>
        <v>95279.66438000002</v>
      </c>
      <c r="L7" s="38">
        <f t="shared" si="2"/>
        <v>94732.11646</v>
      </c>
      <c r="M7" s="38">
        <f t="shared" si="2"/>
        <v>94214.36711000002</v>
      </c>
    </row>
    <row r="8" spans="1:13" ht="13.5">
      <c r="A8" s="46" t="s">
        <v>11</v>
      </c>
      <c r="B8" s="38">
        <f t="shared" si="1"/>
        <v>8446298</v>
      </c>
      <c r="C8" s="38">
        <f t="shared" si="1"/>
        <v>8449249</v>
      </c>
      <c r="D8" s="38">
        <f t="shared" si="1"/>
        <v>8105354</v>
      </c>
      <c r="E8" s="38">
        <f t="shared" si="1"/>
        <v>8210765</v>
      </c>
      <c r="F8" s="38">
        <f t="shared" si="1"/>
        <v>8304982</v>
      </c>
      <c r="G8" s="38">
        <f t="shared" si="1"/>
        <v>8378573.661555544</v>
      </c>
      <c r="H8" s="38">
        <f t="shared" si="1"/>
        <v>8482951.57369715</v>
      </c>
      <c r="I8" s="38">
        <f t="shared" si="1"/>
        <v>8513043.380676653</v>
      </c>
      <c r="J8" s="38">
        <v>8542513.405519452</v>
      </c>
      <c r="K8" s="38">
        <f t="shared" si="2"/>
        <v>8638689.670848388</v>
      </c>
      <c r="L8" s="38">
        <f t="shared" si="2"/>
        <v>8683719.340946585</v>
      </c>
      <c r="M8" s="38">
        <f t="shared" si="2"/>
        <v>8647146.905681409</v>
      </c>
    </row>
    <row r="9" spans="1:13" ht="14.25" customHeight="1">
      <c r="A9" s="40" t="s">
        <v>12</v>
      </c>
      <c r="B9" s="35">
        <f aca="true" t="shared" si="3" ref="B9:H9">B11+B12</f>
        <v>3566692</v>
      </c>
      <c r="C9" s="35">
        <f t="shared" si="3"/>
        <v>3604993</v>
      </c>
      <c r="D9" s="35">
        <f t="shared" si="3"/>
        <v>3607038.6</v>
      </c>
      <c r="E9" s="35">
        <f t="shared" si="3"/>
        <v>3658096.1</v>
      </c>
      <c r="F9" s="35">
        <f t="shared" si="3"/>
        <v>3686975</v>
      </c>
      <c r="G9" s="35">
        <f t="shared" si="3"/>
        <v>3735328.0696300003</v>
      </c>
      <c r="H9" s="35">
        <f t="shared" si="3"/>
        <v>3766267.14859</v>
      </c>
      <c r="I9" s="35">
        <f>I11+I12</f>
        <v>3839184.1060199994</v>
      </c>
      <c r="J9" s="35">
        <v>3885066.6472599995</v>
      </c>
      <c r="K9" s="35">
        <f>K11+K12</f>
        <v>3849764.92253</v>
      </c>
      <c r="L9" s="35">
        <f>L11+L12</f>
        <v>3924376.0756800002</v>
      </c>
      <c r="M9" s="35">
        <f>M11+M12</f>
        <v>3913337.8328299993</v>
      </c>
    </row>
    <row r="10" spans="1:13" ht="13.5">
      <c r="A10" s="47" t="s">
        <v>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3.5">
      <c r="A11" s="46" t="s">
        <v>10</v>
      </c>
      <c r="B11" s="38">
        <v>100501</v>
      </c>
      <c r="C11" s="38">
        <v>100056</v>
      </c>
      <c r="D11" s="38">
        <v>99428.6</v>
      </c>
      <c r="E11" s="38">
        <v>98937.1</v>
      </c>
      <c r="F11" s="38">
        <v>98379</v>
      </c>
      <c r="G11" s="38">
        <v>97804.42134</v>
      </c>
      <c r="H11" s="38">
        <v>97290.95637</v>
      </c>
      <c r="I11" s="38">
        <v>96762.90738</v>
      </c>
      <c r="J11" s="38">
        <v>96132.07212000001</v>
      </c>
      <c r="K11" s="38">
        <v>95279.66438000002</v>
      </c>
      <c r="L11" s="38">
        <v>94732.11646</v>
      </c>
      <c r="M11" s="38">
        <v>94214.36711000002</v>
      </c>
    </row>
    <row r="12" spans="1:13" ht="13.5">
      <c r="A12" s="46" t="s">
        <v>11</v>
      </c>
      <c r="B12" s="38">
        <v>3466191</v>
      </c>
      <c r="C12" s="38">
        <v>3504937</v>
      </c>
      <c r="D12" s="38">
        <v>3507610</v>
      </c>
      <c r="E12" s="38">
        <v>3559159</v>
      </c>
      <c r="F12" s="38">
        <v>3588596</v>
      </c>
      <c r="G12" s="38">
        <v>3637523.6482900004</v>
      </c>
      <c r="H12" s="38">
        <v>3668976.19222</v>
      </c>
      <c r="I12" s="38">
        <v>3742421.198639999</v>
      </c>
      <c r="J12" s="38">
        <v>3788934.5751399994</v>
      </c>
      <c r="K12" s="38">
        <v>3754485.25815</v>
      </c>
      <c r="L12" s="38">
        <v>3829643.95922</v>
      </c>
      <c r="M12" s="38">
        <v>3819123.4657199993</v>
      </c>
    </row>
    <row r="13" spans="1:13" ht="13.5">
      <c r="A13" s="40" t="s">
        <v>14</v>
      </c>
      <c r="B13" s="35">
        <f aca="true" t="shared" si="4" ref="B13:H13">B15+B16</f>
        <v>4980107</v>
      </c>
      <c r="C13" s="35">
        <f t="shared" si="4"/>
        <v>4944312</v>
      </c>
      <c r="D13" s="35">
        <f t="shared" si="4"/>
        <v>4597744</v>
      </c>
      <c r="E13" s="35">
        <f t="shared" si="4"/>
        <v>4651606</v>
      </c>
      <c r="F13" s="35">
        <f t="shared" si="4"/>
        <v>4716386</v>
      </c>
      <c r="G13" s="35">
        <f t="shared" si="4"/>
        <v>4741050.013265543</v>
      </c>
      <c r="H13" s="35">
        <f t="shared" si="4"/>
        <v>4813975.381477149</v>
      </c>
      <c r="I13" s="35">
        <f>I15+I16</f>
        <v>4770622.182036653</v>
      </c>
      <c r="J13" s="35">
        <v>4753578.830379453</v>
      </c>
      <c r="K13" s="35">
        <f>K15+K16</f>
        <v>4884204.412698389</v>
      </c>
      <c r="L13" s="35">
        <f>L15+L16</f>
        <v>4854075.381726584</v>
      </c>
      <c r="M13" s="35">
        <f>M15+M16</f>
        <v>4828023.439961409</v>
      </c>
    </row>
    <row r="14" spans="1:13" ht="13.5">
      <c r="A14" s="45" t="s">
        <v>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13.5">
      <c r="A15" s="46" t="s">
        <v>10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</row>
    <row r="16" spans="1:13" ht="13.5">
      <c r="A16" s="46" t="s">
        <v>11</v>
      </c>
      <c r="B16" s="38">
        <v>4980107</v>
      </c>
      <c r="C16" s="38">
        <v>4944312</v>
      </c>
      <c r="D16" s="38">
        <v>4597744</v>
      </c>
      <c r="E16" s="38">
        <v>4651606</v>
      </c>
      <c r="F16" s="38">
        <v>4716386</v>
      </c>
      <c r="G16" s="38">
        <v>4741050.013265543</v>
      </c>
      <c r="H16" s="38">
        <v>4813975.381477149</v>
      </c>
      <c r="I16" s="38">
        <v>4770622.182036653</v>
      </c>
      <c r="J16" s="38">
        <v>4753578.830379453</v>
      </c>
      <c r="K16" s="38">
        <v>4884204.412698389</v>
      </c>
      <c r="L16" s="38">
        <v>4854075.381726584</v>
      </c>
      <c r="M16" s="38">
        <v>4828023.439961409</v>
      </c>
    </row>
    <row r="17" spans="1:2" ht="15">
      <c r="A17" s="48"/>
      <c r="B17" s="48"/>
    </row>
  </sheetData>
  <sheetProtection/>
  <mergeCells count="3">
    <mergeCell ref="A1:J1"/>
    <mergeCell ref="A2:J2"/>
    <mergeCell ref="B3:M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8" sqref="A18"/>
    </sheetView>
  </sheetViews>
  <sheetFormatPr defaultColWidth="9.25390625" defaultRowHeight="12.75"/>
  <cols>
    <col min="1" max="1" width="42.00390625" style="49" customWidth="1"/>
    <col min="2" max="2" width="9.50390625" style="49" customWidth="1"/>
    <col min="3" max="11" width="9.25390625" style="49" customWidth="1"/>
    <col min="12" max="12" width="9.50390625" style="49" customWidth="1"/>
    <col min="13" max="16384" width="9.25390625" style="49" customWidth="1"/>
  </cols>
  <sheetData>
    <row r="1" spans="1:13" ht="37.5" customHeight="1">
      <c r="A1" s="58" t="s">
        <v>56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8.75" customHeight="1">
      <c r="A2" s="63" t="s">
        <v>55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5" customHeight="1">
      <c r="A3" s="44" t="s">
        <v>0</v>
      </c>
      <c r="B3" s="65">
        <v>2017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20.25" customHeight="1">
      <c r="A4" s="44" t="s">
        <v>1</v>
      </c>
      <c r="B4" s="50" t="s">
        <v>40</v>
      </c>
      <c r="C4" s="50" t="s">
        <v>41</v>
      </c>
      <c r="D4" s="50" t="s">
        <v>42</v>
      </c>
      <c r="E4" s="50" t="s">
        <v>43</v>
      </c>
      <c r="F4" s="50" t="s">
        <v>44</v>
      </c>
      <c r="G4" s="50" t="s">
        <v>54</v>
      </c>
      <c r="H4" s="50" t="s">
        <v>46</v>
      </c>
      <c r="I4" s="50" t="s">
        <v>47</v>
      </c>
      <c r="J4" s="50" t="s">
        <v>48</v>
      </c>
      <c r="K4" s="51" t="s">
        <v>49</v>
      </c>
      <c r="L4" s="51" t="s">
        <v>50</v>
      </c>
      <c r="M4" s="33" t="s">
        <v>51</v>
      </c>
    </row>
    <row r="5" spans="1:13" ht="13.5">
      <c r="A5" s="40" t="s">
        <v>5</v>
      </c>
      <c r="B5" s="35">
        <f aca="true" t="shared" si="0" ref="B5:K5">B9+B13</f>
        <v>9699225.070076207</v>
      </c>
      <c r="C5" s="35">
        <f t="shared" si="0"/>
        <v>9711626.210630286</v>
      </c>
      <c r="D5" s="35">
        <f t="shared" si="0"/>
        <v>9804564.108047906</v>
      </c>
      <c r="E5" s="35">
        <f t="shared" si="0"/>
        <v>9561747.95928</v>
      </c>
      <c r="F5" s="35">
        <f t="shared" si="0"/>
        <v>9650174.794078281</v>
      </c>
      <c r="G5" s="35">
        <f t="shared" si="0"/>
        <v>9553705.749254527</v>
      </c>
      <c r="H5" s="35">
        <f t="shared" si="0"/>
        <v>9345015.162364943</v>
      </c>
      <c r="I5" s="35">
        <f t="shared" si="0"/>
        <v>9303722.557938125</v>
      </c>
      <c r="J5" s="35">
        <f t="shared" si="0"/>
        <v>9200968.477273788</v>
      </c>
      <c r="K5" s="35">
        <f t="shared" si="0"/>
        <v>9084180.590646125</v>
      </c>
      <c r="L5" s="35">
        <v>8840499.80435521</v>
      </c>
      <c r="M5" s="35">
        <f>M9+M13</f>
        <v>8608079</v>
      </c>
    </row>
    <row r="6" spans="1:13" ht="13.5">
      <c r="A6" s="45" t="s">
        <v>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3.5">
      <c r="A7" s="46" t="s">
        <v>10</v>
      </c>
      <c r="B7" s="38">
        <f aca="true" t="shared" si="1" ref="B7:K7">B11+B15</f>
        <v>108104.47128</v>
      </c>
      <c r="C7" s="38">
        <f t="shared" si="1"/>
        <v>106559.91682000001</v>
      </c>
      <c r="D7" s="38">
        <f t="shared" si="1"/>
        <v>106559.91682000001</v>
      </c>
      <c r="E7" s="38">
        <f t="shared" si="1"/>
        <v>105469.0951</v>
      </c>
      <c r="F7" s="38">
        <f t="shared" si="1"/>
        <v>104914.96753</v>
      </c>
      <c r="G7" s="38">
        <f t="shared" si="1"/>
        <v>104391.12384</v>
      </c>
      <c r="H7" s="38">
        <f t="shared" si="1"/>
        <v>103948.02731</v>
      </c>
      <c r="I7" s="38">
        <f t="shared" si="1"/>
        <v>103389.60525</v>
      </c>
      <c r="J7" s="38">
        <f t="shared" si="1"/>
        <v>102658.69635000001</v>
      </c>
      <c r="K7" s="38">
        <f t="shared" si="1"/>
        <v>102204.38512</v>
      </c>
      <c r="L7" s="38">
        <v>101750.63297</v>
      </c>
      <c r="M7" s="38">
        <f>M11+M15</f>
        <v>101156.6</v>
      </c>
    </row>
    <row r="8" spans="1:13" ht="13.5">
      <c r="A8" s="46" t="s">
        <v>11</v>
      </c>
      <c r="B8" s="38">
        <f aca="true" t="shared" si="2" ref="B8:K8">B12+B16</f>
        <v>9591120.598796207</v>
      </c>
      <c r="C8" s="38">
        <f t="shared" si="2"/>
        <v>9605066.293810286</v>
      </c>
      <c r="D8" s="38">
        <f t="shared" si="2"/>
        <v>9698004.191227907</v>
      </c>
      <c r="E8" s="38">
        <f t="shared" si="2"/>
        <v>9456278.86418</v>
      </c>
      <c r="F8" s="38">
        <f t="shared" si="2"/>
        <v>9545259.826548282</v>
      </c>
      <c r="G8" s="38">
        <f t="shared" si="2"/>
        <v>9449314.625414528</v>
      </c>
      <c r="H8" s="38">
        <f t="shared" si="2"/>
        <v>9241067.135054942</v>
      </c>
      <c r="I8" s="38">
        <f t="shared" si="2"/>
        <v>9200332.952688124</v>
      </c>
      <c r="J8" s="38">
        <f t="shared" si="2"/>
        <v>9098309.780923788</v>
      </c>
      <c r="K8" s="38">
        <f t="shared" si="2"/>
        <v>8981976.205526125</v>
      </c>
      <c r="L8" s="38">
        <v>8738749.17138521</v>
      </c>
      <c r="M8" s="38">
        <f>M12+M16</f>
        <v>8506922.4</v>
      </c>
    </row>
    <row r="9" spans="1:13" ht="14.25" customHeight="1">
      <c r="A9" s="40" t="s">
        <v>12</v>
      </c>
      <c r="B9" s="35">
        <f aca="true" t="shared" si="3" ref="B9:K9">B11+B12</f>
        <v>3849684.066760519</v>
      </c>
      <c r="C9" s="35">
        <f t="shared" si="3"/>
        <v>3898073.552906</v>
      </c>
      <c r="D9" s="35">
        <f t="shared" si="3"/>
        <v>3936571.3115159995</v>
      </c>
      <c r="E9" s="35">
        <f t="shared" si="3"/>
        <v>3802355.77207</v>
      </c>
      <c r="F9" s="35">
        <f t="shared" si="3"/>
        <v>3739789.429076</v>
      </c>
      <c r="G9" s="35">
        <f t="shared" si="3"/>
        <v>3690112.825806</v>
      </c>
      <c r="H9" s="35">
        <f t="shared" si="3"/>
        <v>3680073.76829</v>
      </c>
      <c r="I9" s="35">
        <f t="shared" si="3"/>
        <v>3720991.73044</v>
      </c>
      <c r="J9" s="35">
        <f t="shared" si="3"/>
        <v>3674439.02959</v>
      </c>
      <c r="K9" s="35">
        <f t="shared" si="3"/>
        <v>3602927.41885</v>
      </c>
      <c r="L9" s="35">
        <v>3508035.1757100006</v>
      </c>
      <c r="M9" s="35">
        <f>M11+M12</f>
        <v>3537525</v>
      </c>
    </row>
    <row r="10" spans="1:13" ht="13.5">
      <c r="A10" s="47" t="s">
        <v>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3.5">
      <c r="A11" s="46" t="s">
        <v>10</v>
      </c>
      <c r="B11" s="38">
        <v>108104.47128</v>
      </c>
      <c r="C11" s="38">
        <v>106559.91682000001</v>
      </c>
      <c r="D11" s="38">
        <v>106559.91682000001</v>
      </c>
      <c r="E11" s="38">
        <v>105469.0951</v>
      </c>
      <c r="F11" s="38">
        <v>104914.96753</v>
      </c>
      <c r="G11" s="38">
        <v>104391.12384</v>
      </c>
      <c r="H11" s="38">
        <v>103948.02731</v>
      </c>
      <c r="I11" s="38">
        <v>103389.60525</v>
      </c>
      <c r="J11" s="38">
        <v>102658.69635000001</v>
      </c>
      <c r="K11" s="38">
        <v>102204.38512</v>
      </c>
      <c r="L11" s="38">
        <v>101750.63297</v>
      </c>
      <c r="M11" s="38">
        <v>101156.6</v>
      </c>
    </row>
    <row r="12" spans="1:13" ht="13.5">
      <c r="A12" s="46" t="s">
        <v>11</v>
      </c>
      <c r="B12" s="38">
        <v>3741579.595480519</v>
      </c>
      <c r="C12" s="38">
        <v>3791513.636086</v>
      </c>
      <c r="D12" s="38">
        <v>3830011.3946959996</v>
      </c>
      <c r="E12" s="38">
        <v>3696886.67697</v>
      </c>
      <c r="F12" s="38">
        <v>3634874.461546</v>
      </c>
      <c r="G12" s="38">
        <v>3585721.701966</v>
      </c>
      <c r="H12" s="38">
        <v>3576125.7409800002</v>
      </c>
      <c r="I12" s="38">
        <v>3617602.12519</v>
      </c>
      <c r="J12" s="38">
        <v>3571780.33324</v>
      </c>
      <c r="K12" s="38">
        <v>3500723.03373</v>
      </c>
      <c r="L12" s="38">
        <v>3406284.5427400004</v>
      </c>
      <c r="M12" s="38">
        <v>3436368.4</v>
      </c>
    </row>
    <row r="13" spans="1:13" ht="13.5">
      <c r="A13" s="40" t="s">
        <v>14</v>
      </c>
      <c r="B13" s="35">
        <f aca="true" t="shared" si="4" ref="B13:K13">B15+B16</f>
        <v>5849541.003315688</v>
      </c>
      <c r="C13" s="35">
        <f t="shared" si="4"/>
        <v>5813552.657724286</v>
      </c>
      <c r="D13" s="35">
        <f t="shared" si="4"/>
        <v>5867992.796531907</v>
      </c>
      <c r="E13" s="35">
        <f t="shared" si="4"/>
        <v>5759392.18721</v>
      </c>
      <c r="F13" s="35">
        <f t="shared" si="4"/>
        <v>5910385.365002281</v>
      </c>
      <c r="G13" s="35">
        <f t="shared" si="4"/>
        <v>5863592.923448527</v>
      </c>
      <c r="H13" s="35">
        <f t="shared" si="4"/>
        <v>5664941.394074943</v>
      </c>
      <c r="I13" s="35">
        <f t="shared" si="4"/>
        <v>5582730.827498125</v>
      </c>
      <c r="J13" s="35">
        <f t="shared" si="4"/>
        <v>5526529.447683788</v>
      </c>
      <c r="K13" s="35">
        <f t="shared" si="4"/>
        <v>5481253.171796125</v>
      </c>
      <c r="L13" s="35">
        <v>5332464.628645209</v>
      </c>
      <c r="M13" s="35">
        <f>M15+M16</f>
        <v>5070554</v>
      </c>
    </row>
    <row r="14" spans="1:13" ht="13.5">
      <c r="A14" s="45" t="s">
        <v>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13.5">
      <c r="A15" s="46" t="s">
        <v>10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</row>
    <row r="16" spans="1:13" ht="13.5">
      <c r="A16" s="46" t="s">
        <v>11</v>
      </c>
      <c r="B16" s="38">
        <v>5849541.003315688</v>
      </c>
      <c r="C16" s="38">
        <v>5813552.657724286</v>
      </c>
      <c r="D16" s="38">
        <v>5867992.796531907</v>
      </c>
      <c r="E16" s="38">
        <v>5759392.18721</v>
      </c>
      <c r="F16" s="38">
        <v>5910385.365002281</v>
      </c>
      <c r="G16" s="38">
        <v>5863592.923448527</v>
      </c>
      <c r="H16" s="38">
        <v>5664941.394074943</v>
      </c>
      <c r="I16" s="38">
        <v>5582730.827498125</v>
      </c>
      <c r="J16" s="38">
        <v>5526529.447683788</v>
      </c>
      <c r="K16" s="38">
        <v>5481253.171796125</v>
      </c>
      <c r="L16" s="38">
        <v>5332464.628645209</v>
      </c>
      <c r="M16" s="38">
        <v>5070554</v>
      </c>
    </row>
    <row r="17" spans="1:2" ht="15">
      <c r="A17" s="48"/>
      <c r="B17" s="48"/>
    </row>
  </sheetData>
  <sheetProtection/>
  <mergeCells count="3">
    <mergeCell ref="B3:M3"/>
    <mergeCell ref="A1:M1"/>
    <mergeCell ref="A2:M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25" sqref="A25"/>
    </sheetView>
  </sheetViews>
  <sheetFormatPr defaultColWidth="9.25390625" defaultRowHeight="12.75"/>
  <cols>
    <col min="1" max="1" width="42.00390625" style="49" customWidth="1"/>
    <col min="2" max="2" width="9.50390625" style="49" customWidth="1"/>
    <col min="3" max="16384" width="9.25390625" style="49" customWidth="1"/>
  </cols>
  <sheetData>
    <row r="1" spans="1:13" ht="37.5" customHeight="1">
      <c r="A1" s="58" t="s">
        <v>33</v>
      </c>
      <c r="B1" s="58"/>
      <c r="C1" s="58"/>
      <c r="D1" s="58"/>
      <c r="E1" s="58"/>
      <c r="F1" s="58"/>
      <c r="G1" s="58"/>
      <c r="H1" s="58"/>
      <c r="I1" s="66"/>
      <c r="J1" s="66"/>
      <c r="K1" s="66"/>
      <c r="L1" s="66"/>
      <c r="M1" s="66"/>
    </row>
    <row r="2" spans="1:13" ht="18.75" customHeight="1">
      <c r="A2" s="63" t="s">
        <v>55</v>
      </c>
      <c r="B2" s="63"/>
      <c r="C2" s="63"/>
      <c r="D2" s="63"/>
      <c r="E2" s="63"/>
      <c r="F2" s="63"/>
      <c r="G2" s="63"/>
      <c r="H2" s="63"/>
      <c r="I2" s="67"/>
      <c r="J2" s="67"/>
      <c r="K2" s="67"/>
      <c r="L2" s="67"/>
      <c r="M2" s="67"/>
    </row>
    <row r="3" spans="1:13" ht="15" customHeight="1">
      <c r="A3" s="44" t="s">
        <v>0</v>
      </c>
      <c r="B3" s="60">
        <v>2016</v>
      </c>
      <c r="C3" s="68"/>
      <c r="D3" s="68"/>
      <c r="E3" s="68"/>
      <c r="F3" s="68"/>
      <c r="G3" s="68"/>
      <c r="H3" s="68"/>
      <c r="I3" s="68"/>
      <c r="J3" s="69"/>
      <c r="K3" s="69"/>
      <c r="L3" s="69"/>
      <c r="M3" s="70"/>
    </row>
    <row r="4" spans="1:13" ht="20.25" customHeight="1">
      <c r="A4" s="44" t="s">
        <v>1</v>
      </c>
      <c r="B4" s="50" t="s">
        <v>40</v>
      </c>
      <c r="C4" s="50" t="s">
        <v>41</v>
      </c>
      <c r="D4" s="50" t="s">
        <v>42</v>
      </c>
      <c r="E4" s="50" t="s">
        <v>43</v>
      </c>
      <c r="F4" s="50" t="s">
        <v>44</v>
      </c>
      <c r="G4" s="50" t="s">
        <v>54</v>
      </c>
      <c r="H4" s="50" t="s">
        <v>46</v>
      </c>
      <c r="I4" s="50" t="s">
        <v>47</v>
      </c>
      <c r="J4" s="50" t="s">
        <v>48</v>
      </c>
      <c r="K4" s="51" t="s">
        <v>49</v>
      </c>
      <c r="L4" s="51" t="s">
        <v>50</v>
      </c>
      <c r="M4" s="51" t="s">
        <v>51</v>
      </c>
    </row>
    <row r="5" spans="1:13" ht="13.5">
      <c r="A5" s="40" t="s">
        <v>5</v>
      </c>
      <c r="B5" s="35">
        <f aca="true" t="shared" si="0" ref="B5:M5">B9+B13</f>
        <v>12060942.156000001</v>
      </c>
      <c r="C5" s="35">
        <f t="shared" si="0"/>
        <v>11208551.607</v>
      </c>
      <c r="D5" s="35">
        <f t="shared" si="0"/>
        <v>11010176.896</v>
      </c>
      <c r="E5" s="35">
        <f t="shared" si="0"/>
        <v>10958749.407</v>
      </c>
      <c r="F5" s="35">
        <f t="shared" si="0"/>
        <v>10956636.83737</v>
      </c>
      <c r="G5" s="35">
        <f t="shared" si="0"/>
        <v>10927563.048999999</v>
      </c>
      <c r="H5" s="35">
        <f t="shared" si="0"/>
        <v>10814198.2452</v>
      </c>
      <c r="I5" s="35">
        <f t="shared" si="0"/>
        <v>10671438.018922072</v>
      </c>
      <c r="J5" s="35">
        <f t="shared" si="0"/>
        <v>10558785.509896029</v>
      </c>
      <c r="K5" s="35">
        <f t="shared" si="0"/>
        <v>10503644.960109886</v>
      </c>
      <c r="L5" s="35">
        <f t="shared" si="0"/>
        <v>10335043.553575892</v>
      </c>
      <c r="M5" s="35">
        <f t="shared" si="0"/>
        <v>9930048.507969137</v>
      </c>
    </row>
    <row r="6" spans="1:13" ht="13.5">
      <c r="A6" s="45" t="s">
        <v>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3.5">
      <c r="A7" s="46" t="s">
        <v>10</v>
      </c>
      <c r="B7" s="38">
        <f aca="true" t="shared" si="1" ref="B7:H8">B11+B15</f>
        <v>114006.207</v>
      </c>
      <c r="C7" s="38">
        <f t="shared" si="1"/>
        <v>113634.057</v>
      </c>
      <c r="D7" s="38">
        <f t="shared" si="1"/>
        <v>113258.918</v>
      </c>
      <c r="E7" s="38">
        <f t="shared" si="1"/>
        <v>112893.3</v>
      </c>
      <c r="F7" s="38">
        <f t="shared" si="1"/>
        <v>112436.06717</v>
      </c>
      <c r="G7" s="38">
        <f t="shared" si="1"/>
        <v>112020.78</v>
      </c>
      <c r="H7" s="38">
        <f t="shared" si="1"/>
        <v>111669.84195</v>
      </c>
      <c r="I7" s="38">
        <v>110622.80167</v>
      </c>
      <c r="J7" s="38">
        <f aca="true" t="shared" si="2" ref="J7:M8">J11+J15</f>
        <v>110026.58791</v>
      </c>
      <c r="K7" s="38">
        <f t="shared" si="2"/>
        <v>109453.58884</v>
      </c>
      <c r="L7" s="38">
        <f t="shared" si="2"/>
        <v>108918.6294</v>
      </c>
      <c r="M7" s="38">
        <f t="shared" si="2"/>
        <v>108408.30304000001</v>
      </c>
    </row>
    <row r="8" spans="1:13" ht="13.5">
      <c r="A8" s="46" t="s">
        <v>11</v>
      </c>
      <c r="B8" s="38">
        <f t="shared" si="1"/>
        <v>11946935.949000001</v>
      </c>
      <c r="C8" s="38">
        <f t="shared" si="1"/>
        <v>11094917.55</v>
      </c>
      <c r="D8" s="38">
        <f t="shared" si="1"/>
        <v>10896917.978</v>
      </c>
      <c r="E8" s="38">
        <f t="shared" si="1"/>
        <v>10845856.107</v>
      </c>
      <c r="F8" s="38">
        <f t="shared" si="1"/>
        <v>10844200.7702</v>
      </c>
      <c r="G8" s="38">
        <f t="shared" si="1"/>
        <v>10815542.269</v>
      </c>
      <c r="H8" s="38">
        <f t="shared" si="1"/>
        <v>10702528.40325</v>
      </c>
      <c r="I8" s="38">
        <v>10560815.217252074</v>
      </c>
      <c r="J8" s="38">
        <f t="shared" si="2"/>
        <v>10448758.921986029</v>
      </c>
      <c r="K8" s="38">
        <f t="shared" si="2"/>
        <v>10394191.371269887</v>
      </c>
      <c r="L8" s="38">
        <f t="shared" si="2"/>
        <v>10226124.924175892</v>
      </c>
      <c r="M8" s="38">
        <f t="shared" si="2"/>
        <v>9821640.204929138</v>
      </c>
    </row>
    <row r="9" spans="1:13" ht="14.25" customHeight="1">
      <c r="A9" s="40" t="s">
        <v>12</v>
      </c>
      <c r="B9" s="35">
        <f aca="true" t="shared" si="3" ref="B9:M9">B11+B12</f>
        <v>4263676.153000001</v>
      </c>
      <c r="C9" s="35">
        <f t="shared" si="3"/>
        <v>4108081.729</v>
      </c>
      <c r="D9" s="35">
        <f t="shared" si="3"/>
        <v>4165595.894</v>
      </c>
      <c r="E9" s="35">
        <f t="shared" si="3"/>
        <v>4177748.772</v>
      </c>
      <c r="F9" s="35">
        <f t="shared" si="3"/>
        <v>4242135.522369999</v>
      </c>
      <c r="G9" s="35">
        <f t="shared" si="3"/>
        <v>4155669.7359999996</v>
      </c>
      <c r="H9" s="35">
        <f t="shared" si="3"/>
        <v>4091845.2221999997</v>
      </c>
      <c r="I9" s="35">
        <f t="shared" si="3"/>
        <v>4037497.5635359995</v>
      </c>
      <c r="J9" s="35">
        <f t="shared" si="3"/>
        <v>4007105.6543005193</v>
      </c>
      <c r="K9" s="35">
        <f t="shared" si="3"/>
        <v>3963559.963600519</v>
      </c>
      <c r="L9" s="35">
        <f t="shared" si="3"/>
        <v>3896503.5209105196</v>
      </c>
      <c r="M9" s="35">
        <f t="shared" si="3"/>
        <v>3810252.4314660006</v>
      </c>
    </row>
    <row r="10" spans="1:13" ht="13.5">
      <c r="A10" s="47" t="s">
        <v>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3.5">
      <c r="A11" s="46" t="s">
        <v>10</v>
      </c>
      <c r="B11" s="38">
        <v>114006.207</v>
      </c>
      <c r="C11" s="38">
        <v>113634.057</v>
      </c>
      <c r="D11" s="38">
        <v>113258.918</v>
      </c>
      <c r="E11" s="38">
        <v>112893.3</v>
      </c>
      <c r="F11" s="38">
        <v>112436.06717</v>
      </c>
      <c r="G11" s="38">
        <v>112020.78</v>
      </c>
      <c r="H11" s="38">
        <v>111669.84195</v>
      </c>
      <c r="I11" s="38">
        <v>110622.80167</v>
      </c>
      <c r="J11" s="38">
        <v>110026.58791</v>
      </c>
      <c r="K11" s="38">
        <v>109453.58884</v>
      </c>
      <c r="L11" s="38">
        <v>108918.6294</v>
      </c>
      <c r="M11" s="38">
        <v>108408.30304000001</v>
      </c>
    </row>
    <row r="12" spans="1:13" ht="13.5">
      <c r="A12" s="46" t="s">
        <v>11</v>
      </c>
      <c r="B12" s="38">
        <f>2853065.305+1296604.641</f>
        <v>4149669.9460000005</v>
      </c>
      <c r="C12" s="38">
        <f>2674824.05+1319623.622</f>
        <v>3994447.672</v>
      </c>
      <c r="D12" s="38">
        <f>2748314.202+1304022.774</f>
        <v>4052336.976</v>
      </c>
      <c r="E12" s="38">
        <f>2751224.817+1313630.655</f>
        <v>4064855.472</v>
      </c>
      <c r="F12" s="38">
        <v>4129699.4551999997</v>
      </c>
      <c r="G12" s="38">
        <f>2750010.451+1293638.505</f>
        <v>4043648.956</v>
      </c>
      <c r="H12" s="38">
        <v>3980175.38025</v>
      </c>
      <c r="I12" s="38">
        <v>3926874.7618659995</v>
      </c>
      <c r="J12" s="38">
        <v>3897079.066390519</v>
      </c>
      <c r="K12" s="38">
        <v>3854106.3747605192</v>
      </c>
      <c r="L12" s="38">
        <v>3787584.8915105197</v>
      </c>
      <c r="M12" s="38">
        <v>3701844.1284260005</v>
      </c>
    </row>
    <row r="13" spans="1:13" ht="13.5">
      <c r="A13" s="40" t="s">
        <v>14</v>
      </c>
      <c r="B13" s="35">
        <f aca="true" t="shared" si="4" ref="B13:M13">B15+B16</f>
        <v>7797266.0030000005</v>
      </c>
      <c r="C13" s="35">
        <f t="shared" si="4"/>
        <v>7100469.8780000005</v>
      </c>
      <c r="D13" s="35">
        <f t="shared" si="4"/>
        <v>6844581.002</v>
      </c>
      <c r="E13" s="35">
        <f t="shared" si="4"/>
        <v>6781000.635</v>
      </c>
      <c r="F13" s="35">
        <f t="shared" si="4"/>
        <v>6714501.315</v>
      </c>
      <c r="G13" s="35">
        <f t="shared" si="4"/>
        <v>6771893.313</v>
      </c>
      <c r="H13" s="35">
        <f t="shared" si="4"/>
        <v>6722353.023</v>
      </c>
      <c r="I13" s="35">
        <f t="shared" si="4"/>
        <v>6633940.455386073</v>
      </c>
      <c r="J13" s="35">
        <f t="shared" si="4"/>
        <v>6551679.8555955095</v>
      </c>
      <c r="K13" s="35">
        <f t="shared" si="4"/>
        <v>6540084.996509368</v>
      </c>
      <c r="L13" s="35">
        <f t="shared" si="4"/>
        <v>6438540.032665372</v>
      </c>
      <c r="M13" s="35">
        <f t="shared" si="4"/>
        <v>6119796.076503137</v>
      </c>
    </row>
    <row r="14" spans="1:13" ht="13.5">
      <c r="A14" s="45" t="s">
        <v>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13.5">
      <c r="A15" s="46" t="s">
        <v>10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</row>
    <row r="16" spans="1:13" ht="13.5">
      <c r="A16" s="46" t="s">
        <v>11</v>
      </c>
      <c r="B16" s="38">
        <f>7053962.122+743303.881</f>
        <v>7797266.0030000005</v>
      </c>
      <c r="C16" s="38">
        <f>6401387.189+699082.689</f>
        <v>7100469.8780000005</v>
      </c>
      <c r="D16" s="38">
        <f>6190006.832+654574.17</f>
        <v>6844581.002</v>
      </c>
      <c r="E16" s="38">
        <f>6153450.074+627550.561</f>
        <v>6781000.635</v>
      </c>
      <c r="F16" s="38">
        <v>6714501.315</v>
      </c>
      <c r="G16" s="38">
        <f>6204471.593+567421.72</f>
        <v>6771893.313</v>
      </c>
      <c r="H16" s="38">
        <v>6722353.023</v>
      </c>
      <c r="I16" s="38">
        <v>6633940.455386073</v>
      </c>
      <c r="J16" s="38">
        <v>6551679.8555955095</v>
      </c>
      <c r="K16" s="38">
        <v>6540084.996509368</v>
      </c>
      <c r="L16" s="38">
        <v>6438540.032665372</v>
      </c>
      <c r="M16" s="38">
        <v>6119796.076503137</v>
      </c>
    </row>
    <row r="17" spans="1:2" ht="15">
      <c r="A17" s="48"/>
      <c r="B17" s="48"/>
    </row>
  </sheetData>
  <sheetProtection/>
  <mergeCells count="3">
    <mergeCell ref="A1:M1"/>
    <mergeCell ref="A2:M2"/>
    <mergeCell ref="B3:M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Rano</dc:creator>
  <cp:keywords/>
  <dc:description/>
  <cp:lastModifiedBy>Исломова Мавзуна Ахмадуллоевна</cp:lastModifiedBy>
  <cp:lastPrinted>2015-09-03T04:57:32Z</cp:lastPrinted>
  <dcterms:created xsi:type="dcterms:W3CDTF">2003-07-11T09:56:24Z</dcterms:created>
  <dcterms:modified xsi:type="dcterms:W3CDTF">2024-04-19T04:22:08Z</dcterms:modified>
  <cp:category/>
  <cp:version/>
  <cp:contentType/>
  <cp:contentStatus/>
</cp:coreProperties>
</file>